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9420" windowHeight="4500"/>
  </bookViews>
  <sheets>
    <sheet name="Data" sheetId="8" r:id="rId1"/>
    <sheet name="Full Linear" sheetId="34" r:id="rId2"/>
    <sheet name="Quad Full" sheetId="55" r:id="rId3"/>
    <sheet name="Full quad step" sheetId="43" r:id="rId4"/>
    <sheet name="Correlations" sheetId="44" r:id="rId5"/>
    <sheet name="Income v Park" sheetId="45" r:id="rId6"/>
    <sheet name="Price v Park" sheetId="46" r:id="rId7"/>
    <sheet name="Reduced Quad" sheetId="49" r:id="rId8"/>
    <sheet name="Reduced Step" sheetId="52" r:id="rId9"/>
    <sheet name="Statistics" sheetId="56" r:id="rId10"/>
    <sheet name="Sheet1" sheetId="21" state="hidden" r:id="rId11"/>
    <sheet name="Sheet14" sheetId="20" state="hidden" r:id="rId12"/>
    <sheet name="Sheet10" sheetId="14" state="hidden" r:id="rId13"/>
    <sheet name="Sheet7" sheetId="9" state="hidden" r:id="rId14"/>
  </sheets>
  <definedNames>
    <definedName name="Data" localSheetId="0">Data!$A$4:$P$40</definedName>
    <definedName name="Income" localSheetId="0">Data!$E$3:$E$40</definedName>
    <definedName name="Income_1" localSheetId="0">Data!$E$4:$E$40</definedName>
    <definedName name="Income_Income" localSheetId="0">Data!$J$3:$J$40</definedName>
    <definedName name="Income_Park" localSheetId="0">Data!$O$3:$O$40</definedName>
    <definedName name="Income_Pop" localSheetId="0">Data!$M$3:$M$40</definedName>
    <definedName name="MinVal">#REF!</definedName>
    <definedName name="MinValFormula">#REF!</definedName>
    <definedName name="Park_Park" localSheetId="0">Data!$H$3:$H$40</definedName>
    <definedName name="Parking_Rate" localSheetId="0">Data!$F$3:$F$40</definedName>
    <definedName name="Parking_Rate_1" localSheetId="0">Data!$F$4:$F$40</definedName>
    <definedName name="Pop_Park" localSheetId="0">Data!$N$3:$N$40</definedName>
    <definedName name="Pop_pop" localSheetId="0">Data!$I$3:$I$40</definedName>
    <definedName name="Population" localSheetId="0">Data!$D$3:$D$40</definedName>
    <definedName name="Population_1" localSheetId="0">Data!$D$4:$D$40</definedName>
    <definedName name="Price_Income" localSheetId="0">Data!$P$3:$P$40</definedName>
    <definedName name="Price_Park" localSheetId="0">Data!$K$3:$K$40</definedName>
    <definedName name="Price_per_Ride" localSheetId="0">Data!$C$3:$C$40</definedName>
    <definedName name="Price_per_Ride_1" localSheetId="0">Data!$C$4:$C$40</definedName>
    <definedName name="Price_per_Ride_Parking_Rate" localSheetId="0">Data!$K$3:$K$40</definedName>
    <definedName name="Price_Pop" localSheetId="0">Data!$L$3:$L$40</definedName>
    <definedName name="Price_Price" localSheetId="0">Data!$G$3:$G$40</definedName>
    <definedName name="Sums">#REF!</definedName>
    <definedName name="SumWeights">#REF!</definedName>
    <definedName name="Weekly_Riders" localSheetId="0">Data!$B$3:$B$40</definedName>
    <definedName name="Weekly_Riders_1" localSheetId="0">Data!$B$4:$B$40</definedName>
    <definedName name="Weights">#REF!</definedName>
    <definedName name="Year" localSheetId="0">Data!$A$3:$A$40</definedName>
  </definedNames>
  <calcPr calcId="114210"/>
</workbook>
</file>

<file path=xl/calcChain.xml><?xml version="1.0" encoding="utf-8"?>
<calcChain xmlns="http://schemas.openxmlformats.org/spreadsheetml/2006/main">
  <c r="G7" i="56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"/>
  <c r="F3"/>
  <c r="E3"/>
  <c r="D3"/>
  <c r="C3"/>
  <c r="H30" i="55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AA4" i="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C1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2"/>
  <c r="H38" i="52"/>
  <c r="G38"/>
  <c r="H37"/>
  <c r="G37"/>
  <c r="H36"/>
  <c r="G36"/>
  <c r="H19"/>
  <c r="G19"/>
  <c r="H18"/>
  <c r="G18"/>
  <c r="H21" i="49"/>
  <c r="G21"/>
  <c r="H20"/>
  <c r="G20"/>
  <c r="H19"/>
  <c r="G19"/>
  <c r="H18"/>
  <c r="G18"/>
  <c r="H17"/>
  <c r="G17"/>
  <c r="H16"/>
  <c r="G16"/>
  <c r="R4" i="8" a="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C16" i="46"/>
  <c r="C11"/>
  <c r="C6"/>
  <c r="D16"/>
  <c r="H16"/>
  <c r="G16"/>
  <c r="C15"/>
  <c r="D15"/>
  <c r="H15"/>
  <c r="G15"/>
  <c r="E16"/>
  <c r="F16"/>
  <c r="E15"/>
  <c r="F15"/>
  <c r="D10" a="1"/>
  <c r="E10"/>
  <c r="D11"/>
  <c r="E11"/>
  <c r="F10"/>
  <c r="G10"/>
  <c r="D10"/>
  <c r="C5"/>
  <c r="C4"/>
  <c r="U4" i="8" a="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C16" i="45"/>
  <c r="C11"/>
  <c r="C6"/>
  <c r="D16"/>
  <c r="H16"/>
  <c r="G16"/>
  <c r="C15"/>
  <c r="D15"/>
  <c r="H15"/>
  <c r="G15"/>
  <c r="E16"/>
  <c r="F16"/>
  <c r="E15"/>
  <c r="F15"/>
  <c r="D10" a="1"/>
  <c r="E10"/>
  <c r="D11"/>
  <c r="E11"/>
  <c r="F10"/>
  <c r="G10"/>
  <c r="D10"/>
  <c r="C5"/>
  <c r="C4"/>
  <c r="P4" i="8"/>
  <c r="O4"/>
  <c r="P5"/>
  <c r="O5"/>
  <c r="P6"/>
  <c r="O6"/>
  <c r="P7"/>
  <c r="O7"/>
  <c r="P8"/>
  <c r="O8"/>
  <c r="P9"/>
  <c r="O9"/>
  <c r="P10"/>
  <c r="O10"/>
  <c r="P11"/>
  <c r="O11"/>
  <c r="P12"/>
  <c r="O12"/>
  <c r="P13"/>
  <c r="O13"/>
  <c r="P14"/>
  <c r="O14"/>
  <c r="P15"/>
  <c r="O15"/>
  <c r="P16"/>
  <c r="O16"/>
  <c r="P17"/>
  <c r="O17"/>
  <c r="P18"/>
  <c r="O18"/>
  <c r="P19"/>
  <c r="O19"/>
  <c r="P20"/>
  <c r="O20"/>
  <c r="P21"/>
  <c r="O21"/>
  <c r="P22"/>
  <c r="O22"/>
  <c r="P23"/>
  <c r="O23"/>
  <c r="P24"/>
  <c r="O24"/>
  <c r="P25"/>
  <c r="O25"/>
  <c r="P26"/>
  <c r="O26"/>
  <c r="P27"/>
  <c r="O27"/>
  <c r="P28"/>
  <c r="O28"/>
  <c r="P29"/>
  <c r="O29"/>
  <c r="P30"/>
  <c r="O30"/>
  <c r="P31"/>
  <c r="O31"/>
  <c r="P32"/>
  <c r="O32"/>
  <c r="P33"/>
  <c r="O33"/>
  <c r="P34"/>
  <c r="O34"/>
  <c r="P35"/>
  <c r="O35"/>
  <c r="P36"/>
  <c r="O36"/>
  <c r="P37"/>
  <c r="O37"/>
  <c r="P38"/>
  <c r="O38"/>
  <c r="P39"/>
  <c r="O39"/>
  <c r="P40"/>
  <c r="O40"/>
  <c r="P17" i="44"/>
  <c r="N4" i="8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O17" i="44"/>
  <c r="M4" i="8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N17" i="44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M17" i="44"/>
  <c r="J4" i="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L17" i="44"/>
  <c r="I4" i="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K17" i="44"/>
  <c r="H4" i="8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J17" i="44"/>
  <c r="G4" i="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I17" i="44"/>
  <c r="K4" i="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H17" i="44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M14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J11"/>
  <c r="I11"/>
  <c r="H11"/>
  <c r="G11"/>
  <c r="F11"/>
  <c r="E11"/>
  <c r="D11"/>
  <c r="C11"/>
  <c r="I10"/>
  <c r="H10"/>
  <c r="G10"/>
  <c r="F10"/>
  <c r="E10"/>
  <c r="D10"/>
  <c r="C10"/>
  <c r="H9"/>
  <c r="G9"/>
  <c r="F9"/>
  <c r="E9"/>
  <c r="D9"/>
  <c r="C9"/>
  <c r="G8"/>
  <c r="F8"/>
  <c r="E8"/>
  <c r="D8"/>
  <c r="C8"/>
  <c r="F7"/>
  <c r="E7"/>
  <c r="D7"/>
  <c r="C7"/>
  <c r="E6"/>
  <c r="D6"/>
  <c r="C6"/>
  <c r="D5"/>
  <c r="C5"/>
  <c r="C4"/>
  <c r="H79" i="43"/>
  <c r="G79"/>
  <c r="H78"/>
  <c r="G78"/>
  <c r="H77"/>
  <c r="G77"/>
  <c r="H76"/>
  <c r="G76"/>
  <c r="H75"/>
  <c r="G75"/>
  <c r="H58"/>
  <c r="G58"/>
  <c r="H57"/>
  <c r="G57"/>
  <c r="H56"/>
  <c r="G56"/>
  <c r="H55"/>
  <c r="G55"/>
  <c r="H38"/>
  <c r="G38"/>
  <c r="H37"/>
  <c r="G37"/>
  <c r="H36"/>
  <c r="G36"/>
  <c r="H19"/>
  <c r="G19"/>
  <c r="H18"/>
  <c r="G18"/>
  <c r="H20" i="34"/>
  <c r="G20"/>
  <c r="H19"/>
  <c r="G19"/>
  <c r="H18"/>
  <c r="G18"/>
  <c r="H17"/>
  <c r="G17"/>
  <c r="H16"/>
  <c r="G16"/>
</calcChain>
</file>

<file path=xl/comments1.xml><?xml version="1.0" encoding="utf-8"?>
<comments xmlns="http://schemas.openxmlformats.org/spreadsheetml/2006/main">
  <authors>
    <author>Christopher J. Zappe, Ph.D.</author>
    <author>Kris H. Green</author>
  </authors>
  <commentList>
    <comment ref="B3" authorId="0">
      <text>
        <r>
          <rPr>
            <sz val="8"/>
            <color indexed="81"/>
            <rFont val="Tahoma"/>
          </rPr>
          <t xml:space="preserve">In thousands.
</t>
        </r>
      </text>
    </comment>
    <comment ref="C3" authorId="0">
      <text>
        <r>
          <rPr>
            <sz val="8"/>
            <color indexed="81"/>
            <rFont val="Tahoma"/>
          </rPr>
          <t xml:space="preserve">In dollars.
</t>
        </r>
      </text>
    </comment>
    <comment ref="D3" authorId="0">
      <text>
        <r>
          <rPr>
            <sz val="8"/>
            <color indexed="81"/>
            <rFont val="Tahoma"/>
          </rPr>
          <t xml:space="preserve">In thousands.
</t>
        </r>
      </text>
    </comment>
    <comment ref="E3" authorId="0">
      <text>
        <r>
          <rPr>
            <sz val="8"/>
            <color indexed="81"/>
            <rFont val="Tahoma"/>
          </rPr>
          <t xml:space="preserve">Disposable per capita income (in dollars).
</t>
        </r>
      </text>
    </comment>
    <comment ref="F3" authorId="0">
      <text>
        <r>
          <rPr>
            <sz val="8"/>
            <color indexed="81"/>
            <rFont val="Tahoma"/>
          </rPr>
          <t xml:space="preserve">Average cost for one hour of parking in a downtown parking garage or a downtown open-air parking lot (In dollars).
</t>
        </r>
      </text>
    </comment>
    <comment ref="G3" authorId="1">
      <text>
        <r>
          <rPr>
            <b/>
            <sz val="8"/>
            <color indexed="81"/>
            <rFont val="Tahoma"/>
          </rPr>
          <t>Kris H. Green:</t>
        </r>
        <r>
          <rPr>
            <sz val="8"/>
            <color indexed="81"/>
            <rFont val="Tahoma"/>
          </rPr>
          <t xml:space="preserve">
Had to makemanually; statpro won't do it.</t>
        </r>
      </text>
    </comment>
  </commentList>
</comments>
</file>

<file path=xl/comments2.xml><?xml version="1.0" encoding="utf-8"?>
<comments xmlns="http://schemas.openxmlformats.org/spreadsheetml/2006/main">
  <authors>
    <author>Kris H. Green</author>
  </authors>
  <commentList>
    <comment ref="G15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</commentList>
</comments>
</file>

<file path=xl/comments3.xml><?xml version="1.0" encoding="utf-8"?>
<comments xmlns="http://schemas.openxmlformats.org/spreadsheetml/2006/main">
  <authors>
    <author>Kris H. Green</author>
  </authors>
  <commentList>
    <comment ref="G15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</commentList>
</comments>
</file>

<file path=xl/comments4.xml><?xml version="1.0" encoding="utf-8"?>
<comments xmlns="http://schemas.openxmlformats.org/spreadsheetml/2006/main">
  <authors>
    <author>Kris H. Green</author>
  </authors>
  <commentList>
    <comment ref="G17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  <comment ref="G35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  <comment ref="G54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  <comment ref="G74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</commentList>
</comments>
</file>

<file path=xl/comments5.xml><?xml version="1.0" encoding="utf-8"?>
<comments xmlns="http://schemas.openxmlformats.org/spreadsheetml/2006/main">
  <authors>
    <author>Kris H. Green</author>
  </authors>
  <commentList>
    <comment ref="B4" authorId="0">
      <text>
        <r>
          <rPr>
            <sz val="8"/>
            <color indexed="81"/>
            <rFont val="Tahoma"/>
          </rPr>
          <t>This is the square root of R-square. For simple regression, it is also the absolute value of the correlation between X and Y.</t>
        </r>
      </text>
    </comment>
    <comment ref="G14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</commentList>
</comments>
</file>

<file path=xl/comments6.xml><?xml version="1.0" encoding="utf-8"?>
<comments xmlns="http://schemas.openxmlformats.org/spreadsheetml/2006/main">
  <authors>
    <author>Kris H. Green</author>
  </authors>
  <commentList>
    <comment ref="B4" authorId="0">
      <text>
        <r>
          <rPr>
            <sz val="8"/>
            <color indexed="81"/>
            <rFont val="Tahoma"/>
          </rPr>
          <t>This is the square root of R-square. For simple regression, it is also the absolute value of the correlation between X and Y.</t>
        </r>
      </text>
    </comment>
    <comment ref="G14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</commentList>
</comments>
</file>

<file path=xl/comments7.xml><?xml version="1.0" encoding="utf-8"?>
<comments xmlns="http://schemas.openxmlformats.org/spreadsheetml/2006/main">
  <authors>
    <author>Kris H. Green</author>
  </authors>
  <commentList>
    <comment ref="G15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</commentList>
</comments>
</file>

<file path=xl/comments8.xml><?xml version="1.0" encoding="utf-8"?>
<comments xmlns="http://schemas.openxmlformats.org/spreadsheetml/2006/main">
  <authors>
    <author>Kris H. Green</author>
  </authors>
  <commentList>
    <comment ref="G17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  <comment ref="G35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</commentList>
</comments>
</file>

<file path=xl/sharedStrings.xml><?xml version="1.0" encoding="utf-8"?>
<sst xmlns="http://schemas.openxmlformats.org/spreadsheetml/2006/main" count="368" uniqueCount="63">
  <si>
    <t>Demand for Commuter Rail Transportation and Related Variables</t>
  </si>
  <si>
    <t>Year</t>
  </si>
  <si>
    <t>Weekly_Riders</t>
  </si>
  <si>
    <t>Price_per_Ride</t>
  </si>
  <si>
    <t>Population</t>
  </si>
  <si>
    <t>Income</t>
  </si>
  <si>
    <t>Parking_Rate</t>
  </si>
  <si>
    <t>Results of multiple regression for Weekly_Riders</t>
  </si>
  <si>
    <t>Summary measures</t>
  </si>
  <si>
    <t>Multiple R</t>
  </si>
  <si>
    <t>R-Square</t>
  </si>
  <si>
    <t>Adj R-Square</t>
  </si>
  <si>
    <t>StErr of Est</t>
  </si>
  <si>
    <t>ANOVA Table</t>
  </si>
  <si>
    <t>Source</t>
  </si>
  <si>
    <t>df</t>
  </si>
  <si>
    <t>SS</t>
  </si>
  <si>
    <t>MS</t>
  </si>
  <si>
    <t>F</t>
  </si>
  <si>
    <t>p-value</t>
  </si>
  <si>
    <t>Explained</t>
  </si>
  <si>
    <t>Unexplained</t>
  </si>
  <si>
    <t>Regression coefficients</t>
  </si>
  <si>
    <t>Coefficient</t>
  </si>
  <si>
    <t>Std Err</t>
  </si>
  <si>
    <t>t-value</t>
  </si>
  <si>
    <t>Lower limit</t>
  </si>
  <si>
    <t>Upper limit</t>
  </si>
  <si>
    <t>Constant</t>
  </si>
  <si>
    <t>Fitted Values</t>
  </si>
  <si>
    <t>Residuals</t>
  </si>
  <si>
    <t>Price*Price</t>
  </si>
  <si>
    <t>Price*Park</t>
  </si>
  <si>
    <t>Park*Park</t>
  </si>
  <si>
    <t>Results of stepwise regression for Weekly_Riders</t>
  </si>
  <si>
    <t>Change</t>
  </si>
  <si>
    <t>% Change</t>
  </si>
  <si>
    <t>Step 3 - Entering variable: Park*Park</t>
  </si>
  <si>
    <t>Step 4 - Entering variable: Income</t>
  </si>
  <si>
    <t>Pop*pop</t>
  </si>
  <si>
    <t>Income*Income</t>
  </si>
  <si>
    <t>Price*Pop</t>
  </si>
  <si>
    <t>Income*Pop</t>
  </si>
  <si>
    <t>Pop*Park</t>
  </si>
  <si>
    <t>Income*Park</t>
  </si>
  <si>
    <t>Price*Income</t>
  </si>
  <si>
    <t>Step 1 - Entering variable: Pop*pop</t>
  </si>
  <si>
    <t>Step 2 - Entering variable: Price*Pop</t>
  </si>
  <si>
    <t>Table of correlations</t>
  </si>
  <si>
    <t>Results of simple regression for Income</t>
  </si>
  <si>
    <t>ANOVA table</t>
  </si>
  <si>
    <t>Results of simple regression for Price_per_Ride</t>
  </si>
  <si>
    <t>Step 2 - Entering variable: Pop*Park</t>
  </si>
  <si>
    <t>FitTest</t>
  </si>
  <si>
    <t>Resid2</t>
  </si>
  <si>
    <t>Var2</t>
  </si>
  <si>
    <t>R2</t>
  </si>
  <si>
    <t>Summary measures for selected variables</t>
  </si>
  <si>
    <t>Mean</t>
  </si>
  <si>
    <t>Median</t>
  </si>
  <si>
    <t>Standard deviation</t>
  </si>
  <si>
    <t>Minimum</t>
  </si>
  <si>
    <t>Maximum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</si>
</sst>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6" formatCode="&quot;$&quot;#,##0"/>
    <numFmt numFmtId="167" formatCode="&quot;$&quot;#,##0.00"/>
    <numFmt numFmtId="168" formatCode="0.0000"/>
    <numFmt numFmtId="169" formatCode="0.000"/>
    <numFmt numFmtId="170" formatCode="0.0%"/>
  </numFmts>
  <fonts count="7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sz val="8"/>
      <name val="Arial"/>
    </font>
    <font>
      <b/>
      <i/>
      <sz val="10"/>
      <name val="Arial"/>
      <family val="2"/>
    </font>
    <font>
      <b/>
      <sz val="8"/>
      <color indexed="81"/>
      <name val="Tahoma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8" fontId="0" fillId="0" borderId="0" xfId="0" applyNumberFormat="1"/>
    <xf numFmtId="0" fontId="4" fillId="0" borderId="0" xfId="0" applyFont="1" applyAlignment="1">
      <alignment horizontal="left"/>
    </xf>
    <xf numFmtId="168" fontId="0" fillId="0" borderId="0" xfId="0" applyNumberFormat="1"/>
    <xf numFmtId="1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/>
    <xf numFmtId="167" fontId="6" fillId="0" borderId="0" xfId="0" applyNumberFormat="1" applyFont="1"/>
    <xf numFmtId="168" fontId="6" fillId="0" borderId="0" xfId="0" applyNumberFormat="1" applyFont="1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2"/>
  <sheetViews>
    <sheetView tabSelected="1" workbookViewId="0">
      <selection activeCell="A3" sqref="A3"/>
    </sheetView>
  </sheetViews>
  <sheetFormatPr defaultRowHeight="12.75"/>
  <cols>
    <col min="1" max="1" width="7" customWidth="1"/>
    <col min="2" max="2" width="14.85546875" customWidth="1"/>
    <col min="3" max="3" width="15" customWidth="1"/>
    <col min="4" max="4" width="11.7109375" customWidth="1"/>
    <col min="5" max="5" width="8.5703125" customWidth="1"/>
    <col min="6" max="6" width="14.140625" customWidth="1"/>
    <col min="7" max="7" width="10.28515625" bestFit="1" customWidth="1"/>
    <col min="8" max="8" width="9.42578125" bestFit="1" customWidth="1"/>
    <col min="9" max="9" width="12.7109375" style="13" bestFit="1" customWidth="1"/>
    <col min="10" max="10" width="13.85546875" style="13" bestFit="1" customWidth="1"/>
    <col min="11" max="16" width="13.85546875" style="13" customWidth="1"/>
    <col min="17" max="17" width="5.7109375" style="13" customWidth="1"/>
    <col min="18" max="19" width="12.7109375" style="13" customWidth="1"/>
    <col min="20" max="20" width="5.7109375" style="13" customWidth="1"/>
    <col min="21" max="22" width="12.7109375" style="13" customWidth="1"/>
    <col min="23" max="23" width="5.7109375" customWidth="1"/>
    <col min="24" max="25" width="12.7109375" customWidth="1"/>
    <col min="26" max="26" width="14.140625" customWidth="1"/>
  </cols>
  <sheetData>
    <row r="1" spans="1:29">
      <c r="A1" s="1" t="s">
        <v>0</v>
      </c>
      <c r="AC1" s="3">
        <f>AVERAGE(B4:B40)</f>
        <v>1013.1891891891892</v>
      </c>
    </row>
    <row r="3" spans="1:2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31</v>
      </c>
      <c r="H3" s="2" t="s">
        <v>33</v>
      </c>
      <c r="I3" s="12" t="s">
        <v>39</v>
      </c>
      <c r="J3" s="12" t="s">
        <v>40</v>
      </c>
      <c r="K3" s="2" t="s">
        <v>32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/>
      <c r="R3" s="12" t="s">
        <v>29</v>
      </c>
      <c r="S3" s="12" t="s">
        <v>30</v>
      </c>
      <c r="T3" s="12"/>
      <c r="U3" s="12" t="s">
        <v>29</v>
      </c>
      <c r="V3" s="12" t="s">
        <v>30</v>
      </c>
      <c r="W3" s="2"/>
      <c r="X3" s="2" t="s">
        <v>29</v>
      </c>
      <c r="Y3" s="2" t="s">
        <v>30</v>
      </c>
      <c r="Z3" s="2"/>
      <c r="AA3" s="2" t="s">
        <v>53</v>
      </c>
      <c r="AB3" s="2" t="s">
        <v>54</v>
      </c>
      <c r="AC3" s="2" t="s">
        <v>55</v>
      </c>
    </row>
    <row r="4" spans="1:29">
      <c r="A4">
        <v>1966</v>
      </c>
      <c r="B4" s="3">
        <v>1190</v>
      </c>
      <c r="C4" s="5">
        <v>0.15</v>
      </c>
      <c r="D4" s="3">
        <v>1800</v>
      </c>
      <c r="E4" s="4">
        <v>2900</v>
      </c>
      <c r="F4" s="5">
        <v>0.5</v>
      </c>
      <c r="G4" s="5">
        <f>C4*C4</f>
        <v>2.2499999999999999E-2</v>
      </c>
      <c r="H4" s="5">
        <f>F4*F4</f>
        <v>0.25</v>
      </c>
      <c r="I4" s="14">
        <f>D4*D4</f>
        <v>3240000</v>
      </c>
      <c r="J4" s="14">
        <f>E4*E4</f>
        <v>8410000</v>
      </c>
      <c r="K4" s="5">
        <f>IF(OR($C4="*",$F4="*"),"*",$C4*$F4)</f>
        <v>7.4999999999999997E-2</v>
      </c>
      <c r="L4" s="14">
        <f>C4*D4</f>
        <v>270</v>
      </c>
      <c r="M4" s="14">
        <f>D4*E4</f>
        <v>5220000</v>
      </c>
      <c r="N4" s="14">
        <f>D4*F4</f>
        <v>900</v>
      </c>
      <c r="O4" s="14">
        <f>E4*F4</f>
        <v>1450</v>
      </c>
      <c r="P4" s="14">
        <f>C4*E4</f>
        <v>435</v>
      </c>
      <c r="Q4" s="14"/>
      <c r="R4" s="15">
        <f t="array" aca="1" ref="R4:R40" ca="1">TREND(Data!Price_per_Ride_1,Data!Parking_Rate_1)</f>
        <v>0.1907291868814282</v>
      </c>
      <c r="S4" s="15">
        <f t="shared" ref="S4:S40" si="0">$C4-$R4</f>
        <v>-4.0729186881428209E-2</v>
      </c>
      <c r="T4" s="14"/>
      <c r="U4" s="15">
        <f t="array" aca="1" ref="U4:U40" ca="1">TREND(Data!Income_1,Data!Parking_Rate_1)</f>
        <v>3642.6535513293215</v>
      </c>
      <c r="V4" s="15">
        <f t="shared" ref="V4:V40" si="1">$E4-$U4</f>
        <v>-742.65355132932154</v>
      </c>
      <c r="W4" s="5"/>
      <c r="X4" s="10">
        <v>1172.7084013661101</v>
      </c>
      <c r="Y4" s="10">
        <v>17.291598633889862</v>
      </c>
      <c r="Z4" s="5"/>
      <c r="AA4" s="16">
        <f>596.4908+0.0002*D4*D4-0.0864*D4*(-0.0929+0.5672*F4)+36.0244*F4*F4-0.0229*(2046.8727+3191.5617*F4)</f>
        <v>1140.4224697049999</v>
      </c>
      <c r="AB4" s="17">
        <f t="shared" ref="AB4:AB40" si="2">(AA4-B4)^2</f>
        <v>2457.9315101516513</v>
      </c>
      <c r="AC4">
        <f>(B4-$AC$1)^2</f>
        <v>31262.062819576342</v>
      </c>
    </row>
    <row r="5" spans="1:29">
      <c r="A5">
        <v>1967</v>
      </c>
      <c r="B5" s="3">
        <v>1135</v>
      </c>
      <c r="C5" s="5">
        <v>0.15</v>
      </c>
      <c r="D5" s="3">
        <v>1790</v>
      </c>
      <c r="E5" s="4">
        <v>3100</v>
      </c>
      <c r="F5" s="5">
        <v>0.5</v>
      </c>
      <c r="G5" s="5">
        <f t="shared" ref="G5:G40" si="3">C5*C5</f>
        <v>2.2499999999999999E-2</v>
      </c>
      <c r="H5" s="5">
        <f t="shared" ref="H5:H40" si="4">F5*F5</f>
        <v>0.25</v>
      </c>
      <c r="I5" s="14">
        <f t="shared" ref="I5:I40" si="5">D5*D5</f>
        <v>3204100</v>
      </c>
      <c r="J5" s="14">
        <f t="shared" ref="J5:J40" si="6">E5*E5</f>
        <v>9610000</v>
      </c>
      <c r="K5" s="5">
        <f t="shared" ref="K5:K40" si="7">IF(OR($C5="*",$F5="*"),"*",$C5*$F5)</f>
        <v>7.4999999999999997E-2</v>
      </c>
      <c r="L5" s="14">
        <f t="shared" ref="L5:L40" si="8">C5*D5</f>
        <v>268.5</v>
      </c>
      <c r="M5" s="14">
        <f t="shared" ref="M5:M40" si="9">D5*E5</f>
        <v>5549000</v>
      </c>
      <c r="N5" s="14">
        <f t="shared" ref="N5:N40" si="10">D5*F5</f>
        <v>895</v>
      </c>
      <c r="O5" s="14">
        <f t="shared" ref="O5:O40" si="11">E5*F5</f>
        <v>1550</v>
      </c>
      <c r="P5" s="14">
        <f t="shared" ref="P5:P40" si="12">C5*E5</f>
        <v>465</v>
      </c>
      <c r="Q5" s="14"/>
      <c r="R5" s="15">
        <f ca="1"/>
        <v>0.1907291868814282</v>
      </c>
      <c r="S5" s="15">
        <f t="shared" si="0"/>
        <v>-4.0729186881428209E-2</v>
      </c>
      <c r="T5" s="14"/>
      <c r="U5" s="15">
        <f ca="1"/>
        <v>3642.6535513293215</v>
      </c>
      <c r="V5" s="15">
        <f t="shared" si="1"/>
        <v>-542.65355132932154</v>
      </c>
      <c r="W5" s="5"/>
      <c r="X5" s="10">
        <v>1172.7084013661101</v>
      </c>
      <c r="Y5" s="10">
        <v>-37.708401366110138</v>
      </c>
      <c r="Z5" s="5"/>
      <c r="AA5" s="16">
        <f t="shared" ref="AA5:AA40" si="13">596.4908+0.0002*D5*D5-0.0864*D5*(-0.0929+0.5672*F5)+36.0244*F5*F5-0.0229*(2046.8727+3191.5617*F5)</f>
        <v>1133.4072345050004</v>
      </c>
      <c r="AB5" s="17">
        <f t="shared" si="2"/>
        <v>2.5369019220614466</v>
      </c>
      <c r="AC5">
        <f t="shared" ref="AC5:AC40" si="14">(B5-$AC$1)^2</f>
        <v>14837.87363038715</v>
      </c>
    </row>
    <row r="6" spans="1:29">
      <c r="A6">
        <v>1968</v>
      </c>
      <c r="B6" s="3">
        <v>1161</v>
      </c>
      <c r="C6" s="5">
        <v>0.15</v>
      </c>
      <c r="D6" s="3">
        <v>1780</v>
      </c>
      <c r="E6" s="4">
        <v>3200</v>
      </c>
      <c r="F6" s="5">
        <v>0.6</v>
      </c>
      <c r="G6" s="5">
        <f t="shared" si="3"/>
        <v>2.2499999999999999E-2</v>
      </c>
      <c r="H6" s="5">
        <f t="shared" si="4"/>
        <v>0.36</v>
      </c>
      <c r="I6" s="14">
        <f t="shared" si="5"/>
        <v>3168400</v>
      </c>
      <c r="J6" s="14">
        <f t="shared" si="6"/>
        <v>10240000</v>
      </c>
      <c r="K6" s="5">
        <f t="shared" si="7"/>
        <v>0.09</v>
      </c>
      <c r="L6" s="14">
        <f t="shared" si="8"/>
        <v>267</v>
      </c>
      <c r="M6" s="14">
        <f t="shared" si="9"/>
        <v>5696000</v>
      </c>
      <c r="N6" s="14">
        <f t="shared" si="10"/>
        <v>1068</v>
      </c>
      <c r="O6" s="14">
        <f t="shared" si="11"/>
        <v>1920</v>
      </c>
      <c r="P6" s="14">
        <f t="shared" si="12"/>
        <v>480</v>
      </c>
      <c r="Q6" s="14"/>
      <c r="R6" s="15">
        <f ca="1"/>
        <v>0.24744711818358228</v>
      </c>
      <c r="S6" s="15">
        <f t="shared" si="0"/>
        <v>-9.7447118183582287E-2</v>
      </c>
      <c r="T6" s="14"/>
      <c r="U6" s="15">
        <f ca="1"/>
        <v>3961.809722491751</v>
      </c>
      <c r="V6" s="15">
        <f t="shared" si="1"/>
        <v>-761.80972249175102</v>
      </c>
      <c r="W6" s="5"/>
      <c r="X6" s="10">
        <v>1162.2473506351184</v>
      </c>
      <c r="Y6" s="10">
        <v>-1.2473506351184369</v>
      </c>
      <c r="Z6" s="5"/>
      <c r="AA6" s="16">
        <f t="shared" si="13"/>
        <v>1114.3629247719998</v>
      </c>
      <c r="AB6" s="17">
        <f t="shared" si="2"/>
        <v>2175.0167858221484</v>
      </c>
      <c r="AC6">
        <f t="shared" si="14"/>
        <v>21848.035792549312</v>
      </c>
    </row>
    <row r="7" spans="1:29">
      <c r="A7">
        <v>1969</v>
      </c>
      <c r="B7" s="3">
        <v>1165</v>
      </c>
      <c r="C7" s="5">
        <v>0.25</v>
      </c>
      <c r="D7" s="3">
        <v>1778</v>
      </c>
      <c r="E7" s="4">
        <v>3250</v>
      </c>
      <c r="F7" s="5">
        <v>0.6</v>
      </c>
      <c r="G7" s="5">
        <f t="shared" si="3"/>
        <v>6.25E-2</v>
      </c>
      <c r="H7" s="5">
        <f t="shared" si="4"/>
        <v>0.36</v>
      </c>
      <c r="I7" s="14">
        <f t="shared" si="5"/>
        <v>3161284</v>
      </c>
      <c r="J7" s="14">
        <f t="shared" si="6"/>
        <v>10562500</v>
      </c>
      <c r="K7" s="5">
        <f t="shared" si="7"/>
        <v>0.15</v>
      </c>
      <c r="L7" s="14">
        <f t="shared" si="8"/>
        <v>444.5</v>
      </c>
      <c r="M7" s="14">
        <f t="shared" si="9"/>
        <v>5778500</v>
      </c>
      <c r="N7" s="14">
        <f t="shared" si="10"/>
        <v>1066.8</v>
      </c>
      <c r="O7" s="14">
        <f t="shared" si="11"/>
        <v>1950</v>
      </c>
      <c r="P7" s="14">
        <f t="shared" si="12"/>
        <v>812.5</v>
      </c>
      <c r="Q7" s="14"/>
      <c r="R7" s="15">
        <f ca="1"/>
        <v>0.24744711818358228</v>
      </c>
      <c r="S7" s="15">
        <f t="shared" si="0"/>
        <v>2.5528818164177181E-3</v>
      </c>
      <c r="T7" s="14"/>
      <c r="U7" s="15">
        <f ca="1"/>
        <v>3961.809722491751</v>
      </c>
      <c r="V7" s="15">
        <f t="shared" si="1"/>
        <v>-711.80972249175102</v>
      </c>
      <c r="W7" s="5"/>
      <c r="X7" s="10">
        <v>1118.3985481175994</v>
      </c>
      <c r="Y7" s="10">
        <v>46.601451882400625</v>
      </c>
      <c r="Z7" s="5"/>
      <c r="AA7" s="16">
        <f t="shared" si="13"/>
        <v>1112.9824789479999</v>
      </c>
      <c r="AB7" s="17">
        <f t="shared" si="2"/>
        <v>2705.8224963952757</v>
      </c>
      <c r="AC7">
        <f t="shared" si="14"/>
        <v>23046.522279035798</v>
      </c>
    </row>
    <row r="8" spans="1:29">
      <c r="A8">
        <v>1970</v>
      </c>
      <c r="B8" s="3">
        <v>1171</v>
      </c>
      <c r="C8" s="5">
        <v>0.25</v>
      </c>
      <c r="D8" s="3">
        <v>1750</v>
      </c>
      <c r="E8" s="4">
        <v>3275</v>
      </c>
      <c r="F8" s="5">
        <v>0.6</v>
      </c>
      <c r="G8" s="5">
        <f t="shared" si="3"/>
        <v>6.25E-2</v>
      </c>
      <c r="H8" s="5">
        <f t="shared" si="4"/>
        <v>0.36</v>
      </c>
      <c r="I8" s="14">
        <f t="shared" si="5"/>
        <v>3062500</v>
      </c>
      <c r="J8" s="14">
        <f t="shared" si="6"/>
        <v>10725625</v>
      </c>
      <c r="K8" s="5">
        <f t="shared" si="7"/>
        <v>0.15</v>
      </c>
      <c r="L8" s="14">
        <f t="shared" si="8"/>
        <v>437.5</v>
      </c>
      <c r="M8" s="14">
        <f t="shared" si="9"/>
        <v>5731250</v>
      </c>
      <c r="N8" s="14">
        <f t="shared" si="10"/>
        <v>1050</v>
      </c>
      <c r="O8" s="14">
        <f t="shared" si="11"/>
        <v>1965</v>
      </c>
      <c r="P8" s="14">
        <f t="shared" si="12"/>
        <v>818.75</v>
      </c>
      <c r="Q8" s="14"/>
      <c r="R8" s="15">
        <f ca="1"/>
        <v>0.24744711818358228</v>
      </c>
      <c r="S8" s="15">
        <f t="shared" si="0"/>
        <v>2.5528818164177181E-3</v>
      </c>
      <c r="T8" s="14"/>
      <c r="U8" s="15">
        <f ca="1"/>
        <v>3961.809722491751</v>
      </c>
      <c r="V8" s="15">
        <f t="shared" si="1"/>
        <v>-686.80972249175102</v>
      </c>
      <c r="W8" s="5"/>
      <c r="X8" s="10">
        <v>1118.3985481175994</v>
      </c>
      <c r="Y8" s="10">
        <v>52.601451882400625</v>
      </c>
      <c r="Z8" s="5"/>
      <c r="AA8" s="16">
        <f t="shared" si="13"/>
        <v>1093.8242374119998</v>
      </c>
      <c r="AB8" s="17">
        <f t="shared" si="2"/>
        <v>5956.0983310393749</v>
      </c>
      <c r="AC8">
        <f t="shared" si="14"/>
        <v>24904.252008765528</v>
      </c>
    </row>
    <row r="9" spans="1:29">
      <c r="A9">
        <v>1971</v>
      </c>
      <c r="B9" s="3">
        <v>1136</v>
      </c>
      <c r="C9" s="5">
        <v>0.25</v>
      </c>
      <c r="D9" s="3">
        <v>1740</v>
      </c>
      <c r="E9" s="4">
        <v>3290</v>
      </c>
      <c r="F9" s="5">
        <v>0.7</v>
      </c>
      <c r="G9" s="5">
        <f t="shared" si="3"/>
        <v>6.25E-2</v>
      </c>
      <c r="H9" s="5">
        <f t="shared" si="4"/>
        <v>0.48999999999999994</v>
      </c>
      <c r="I9" s="14">
        <f t="shared" si="5"/>
        <v>3027600</v>
      </c>
      <c r="J9" s="14">
        <f t="shared" si="6"/>
        <v>10824100</v>
      </c>
      <c r="K9" s="5">
        <f t="shared" si="7"/>
        <v>0.17499999999999999</v>
      </c>
      <c r="L9" s="14">
        <f t="shared" si="8"/>
        <v>435</v>
      </c>
      <c r="M9" s="14">
        <f t="shared" si="9"/>
        <v>5724600</v>
      </c>
      <c r="N9" s="14">
        <f t="shared" si="10"/>
        <v>1218</v>
      </c>
      <c r="O9" s="14">
        <f t="shared" si="11"/>
        <v>2303</v>
      </c>
      <c r="P9" s="14">
        <f t="shared" si="12"/>
        <v>822.5</v>
      </c>
      <c r="Q9" s="14"/>
      <c r="R9" s="15">
        <f ca="1"/>
        <v>0.30416504948573636</v>
      </c>
      <c r="S9" s="15">
        <f t="shared" si="0"/>
        <v>-5.4165049485736361E-2</v>
      </c>
      <c r="T9" s="14"/>
      <c r="U9" s="15">
        <f ca="1"/>
        <v>4280.9658936541809</v>
      </c>
      <c r="V9" s="15">
        <f t="shared" si="1"/>
        <v>-990.96589365418095</v>
      </c>
      <c r="W9" s="5"/>
      <c r="X9" s="10">
        <v>1110.5775541467933</v>
      </c>
      <c r="Y9" s="10">
        <v>25.422445853206682</v>
      </c>
      <c r="Z9" s="5"/>
      <c r="AA9" s="16">
        <f t="shared" si="13"/>
        <v>1075.9054460789998</v>
      </c>
      <c r="AB9" s="17">
        <f t="shared" si="2"/>
        <v>3611.3554109639967</v>
      </c>
      <c r="AC9">
        <f t="shared" si="14"/>
        <v>15082.495252008772</v>
      </c>
    </row>
    <row r="10" spans="1:29">
      <c r="A10">
        <v>1972</v>
      </c>
      <c r="B10" s="3">
        <v>1079</v>
      </c>
      <c r="C10" s="5">
        <v>0.25</v>
      </c>
      <c r="D10" s="3">
        <v>1725</v>
      </c>
      <c r="E10" s="4">
        <v>4100</v>
      </c>
      <c r="F10" s="5">
        <v>0.75</v>
      </c>
      <c r="G10" s="5">
        <f t="shared" si="3"/>
        <v>6.25E-2</v>
      </c>
      <c r="H10" s="5">
        <f t="shared" si="4"/>
        <v>0.5625</v>
      </c>
      <c r="I10" s="14">
        <f t="shared" si="5"/>
        <v>2975625</v>
      </c>
      <c r="J10" s="14">
        <f t="shared" si="6"/>
        <v>16810000</v>
      </c>
      <c r="K10" s="5">
        <f t="shared" si="7"/>
        <v>0.1875</v>
      </c>
      <c r="L10" s="14">
        <f t="shared" si="8"/>
        <v>431.25</v>
      </c>
      <c r="M10" s="14">
        <f t="shared" si="9"/>
        <v>7072500</v>
      </c>
      <c r="N10" s="14">
        <f t="shared" si="10"/>
        <v>1293.75</v>
      </c>
      <c r="O10" s="14">
        <f t="shared" si="11"/>
        <v>3075</v>
      </c>
      <c r="P10" s="14">
        <f t="shared" si="12"/>
        <v>1025</v>
      </c>
      <c r="Q10" s="14"/>
      <c r="R10" s="15">
        <f ca="1"/>
        <v>0.3325240151368134</v>
      </c>
      <c r="S10" s="15">
        <f t="shared" si="0"/>
        <v>-8.25240151368134E-2</v>
      </c>
      <c r="T10" s="14"/>
      <c r="U10" s="15">
        <f ca="1"/>
        <v>4440.5439792353964</v>
      </c>
      <c r="V10" s="15">
        <f t="shared" si="1"/>
        <v>-340.54397923539636</v>
      </c>
      <c r="W10" s="5"/>
      <c r="X10" s="10">
        <v>1106.6670571613904</v>
      </c>
      <c r="Y10" s="10">
        <v>-27.667057161390403</v>
      </c>
      <c r="Z10" s="5"/>
      <c r="AA10" s="16">
        <f t="shared" si="13"/>
        <v>1060.6352679725001</v>
      </c>
      <c r="AB10" s="17">
        <f t="shared" si="2"/>
        <v>337.26338244188207</v>
      </c>
      <c r="AC10">
        <f t="shared" si="14"/>
        <v>4331.0628195763366</v>
      </c>
    </row>
    <row r="11" spans="1:29">
      <c r="A11">
        <v>1973</v>
      </c>
      <c r="B11" s="3">
        <v>1051</v>
      </c>
      <c r="C11" s="5">
        <v>0.3</v>
      </c>
      <c r="D11" s="3">
        <v>1725</v>
      </c>
      <c r="E11" s="4">
        <v>4300</v>
      </c>
      <c r="F11" s="5">
        <v>0.75</v>
      </c>
      <c r="G11" s="5">
        <f t="shared" si="3"/>
        <v>0.09</v>
      </c>
      <c r="H11" s="5">
        <f t="shared" si="4"/>
        <v>0.5625</v>
      </c>
      <c r="I11" s="14">
        <f t="shared" si="5"/>
        <v>2975625</v>
      </c>
      <c r="J11" s="14">
        <f t="shared" si="6"/>
        <v>18490000</v>
      </c>
      <c r="K11" s="5">
        <f t="shared" si="7"/>
        <v>0.22499999999999998</v>
      </c>
      <c r="L11" s="14">
        <f t="shared" si="8"/>
        <v>517.5</v>
      </c>
      <c r="M11" s="14">
        <f t="shared" si="9"/>
        <v>7417500</v>
      </c>
      <c r="N11" s="14">
        <f t="shared" si="10"/>
        <v>1293.75</v>
      </c>
      <c r="O11" s="14">
        <f t="shared" si="11"/>
        <v>3225</v>
      </c>
      <c r="P11" s="14">
        <f t="shared" si="12"/>
        <v>1290</v>
      </c>
      <c r="Q11" s="14"/>
      <c r="R11" s="15">
        <f ca="1"/>
        <v>0.3325240151368134</v>
      </c>
      <c r="S11" s="15">
        <f t="shared" si="0"/>
        <v>-3.2524015136813411E-2</v>
      </c>
      <c r="T11" s="14"/>
      <c r="U11" s="15">
        <f ca="1"/>
        <v>4440.5439792353964</v>
      </c>
      <c r="V11" s="15">
        <f t="shared" si="1"/>
        <v>-140.54397923539636</v>
      </c>
      <c r="W11" s="5"/>
      <c r="X11" s="10">
        <v>1086.7226984727702</v>
      </c>
      <c r="Y11" s="10">
        <v>-35.722698472770162</v>
      </c>
      <c r="Z11" s="5"/>
      <c r="AA11" s="16">
        <f t="shared" si="13"/>
        <v>1060.6352679725001</v>
      </c>
      <c r="AB11" s="17">
        <f t="shared" si="2"/>
        <v>92.838388901885409</v>
      </c>
      <c r="AC11">
        <f t="shared" si="14"/>
        <v>1429.6574141709295</v>
      </c>
    </row>
    <row r="12" spans="1:29">
      <c r="A12">
        <v>1974</v>
      </c>
      <c r="B12" s="3">
        <v>1079</v>
      </c>
      <c r="C12" s="5">
        <v>0.3</v>
      </c>
      <c r="D12" s="3">
        <v>1720</v>
      </c>
      <c r="E12" s="4">
        <v>4400</v>
      </c>
      <c r="F12" s="5">
        <v>0.75</v>
      </c>
      <c r="G12" s="5">
        <f t="shared" si="3"/>
        <v>0.09</v>
      </c>
      <c r="H12" s="5">
        <f t="shared" si="4"/>
        <v>0.5625</v>
      </c>
      <c r="I12" s="14">
        <f t="shared" si="5"/>
        <v>2958400</v>
      </c>
      <c r="J12" s="14">
        <f t="shared" si="6"/>
        <v>19360000</v>
      </c>
      <c r="K12" s="5">
        <f t="shared" si="7"/>
        <v>0.22499999999999998</v>
      </c>
      <c r="L12" s="14">
        <f t="shared" si="8"/>
        <v>516</v>
      </c>
      <c r="M12" s="14">
        <f t="shared" si="9"/>
        <v>7568000</v>
      </c>
      <c r="N12" s="14">
        <f t="shared" si="10"/>
        <v>1290</v>
      </c>
      <c r="O12" s="14">
        <f t="shared" si="11"/>
        <v>3300</v>
      </c>
      <c r="P12" s="14">
        <f t="shared" si="12"/>
        <v>1320</v>
      </c>
      <c r="Q12" s="14"/>
      <c r="R12" s="15">
        <f ca="1"/>
        <v>0.3325240151368134</v>
      </c>
      <c r="S12" s="15">
        <f t="shared" si="0"/>
        <v>-3.2524015136813411E-2</v>
      </c>
      <c r="T12" s="14"/>
      <c r="U12" s="15">
        <f ca="1"/>
        <v>4440.5439792353964</v>
      </c>
      <c r="V12" s="15">
        <f t="shared" si="1"/>
        <v>-40.543979235396364</v>
      </c>
      <c r="W12" s="5"/>
      <c r="X12" s="10">
        <v>1086.7226984727702</v>
      </c>
      <c r="Y12" s="10">
        <v>-7.722698472770162</v>
      </c>
      <c r="Z12" s="5"/>
      <c r="AA12" s="16">
        <f t="shared" si="13"/>
        <v>1057.3339079725001</v>
      </c>
      <c r="AB12" s="17">
        <f t="shared" si="2"/>
        <v>469.41954374409352</v>
      </c>
      <c r="AC12">
        <f t="shared" si="14"/>
        <v>4331.0628195763366</v>
      </c>
    </row>
    <row r="13" spans="1:29">
      <c r="A13">
        <v>1975</v>
      </c>
      <c r="B13" s="3">
        <v>1086</v>
      </c>
      <c r="C13" s="5">
        <v>0.3</v>
      </c>
      <c r="D13" s="3">
        <v>1705</v>
      </c>
      <c r="E13" s="4">
        <v>4600</v>
      </c>
      <c r="F13" s="5">
        <v>0.8</v>
      </c>
      <c r="G13" s="5">
        <f t="shared" si="3"/>
        <v>0.09</v>
      </c>
      <c r="H13" s="5">
        <f t="shared" si="4"/>
        <v>0.64000000000000012</v>
      </c>
      <c r="I13" s="14">
        <f t="shared" si="5"/>
        <v>2907025</v>
      </c>
      <c r="J13" s="14">
        <f t="shared" si="6"/>
        <v>21160000</v>
      </c>
      <c r="K13" s="5">
        <f t="shared" si="7"/>
        <v>0.24</v>
      </c>
      <c r="L13" s="14">
        <f t="shared" si="8"/>
        <v>511.5</v>
      </c>
      <c r="M13" s="14">
        <f t="shared" si="9"/>
        <v>7843000</v>
      </c>
      <c r="N13" s="14">
        <f t="shared" si="10"/>
        <v>1364</v>
      </c>
      <c r="O13" s="14">
        <f t="shared" si="11"/>
        <v>3680</v>
      </c>
      <c r="P13" s="14">
        <f t="shared" si="12"/>
        <v>1380</v>
      </c>
      <c r="Q13" s="14"/>
      <c r="R13" s="15">
        <f ca="1"/>
        <v>0.36088298078789049</v>
      </c>
      <c r="S13" s="15">
        <f t="shared" si="0"/>
        <v>-6.0882980787890506E-2</v>
      </c>
      <c r="T13" s="14"/>
      <c r="U13" s="15">
        <f ca="1"/>
        <v>4600.1220648166109</v>
      </c>
      <c r="V13" s="15">
        <f t="shared" si="1"/>
        <v>-0.12206481661087309</v>
      </c>
      <c r="W13" s="5"/>
      <c r="X13" s="10">
        <v>1083.4722156774135</v>
      </c>
      <c r="Y13" s="10">
        <v>2.5277843225865126</v>
      </c>
      <c r="Z13" s="5"/>
      <c r="AA13" s="16">
        <f t="shared" si="13"/>
        <v>1042.4496125060002</v>
      </c>
      <c r="AB13" s="17">
        <f t="shared" si="2"/>
        <v>1896.6362508775323</v>
      </c>
      <c r="AC13">
        <f t="shared" si="14"/>
        <v>5301.4141709276882</v>
      </c>
    </row>
    <row r="14" spans="1:29">
      <c r="A14">
        <v>1976</v>
      </c>
      <c r="B14" s="3">
        <v>1074</v>
      </c>
      <c r="C14" s="5">
        <v>0.3</v>
      </c>
      <c r="D14" s="3">
        <v>1710</v>
      </c>
      <c r="E14" s="4">
        <v>4815</v>
      </c>
      <c r="F14" s="5">
        <v>0.8</v>
      </c>
      <c r="G14" s="5">
        <f t="shared" si="3"/>
        <v>0.09</v>
      </c>
      <c r="H14" s="5">
        <f t="shared" si="4"/>
        <v>0.64000000000000012</v>
      </c>
      <c r="I14" s="14">
        <f t="shared" si="5"/>
        <v>2924100</v>
      </c>
      <c r="J14" s="14">
        <f t="shared" si="6"/>
        <v>23184225</v>
      </c>
      <c r="K14" s="5">
        <f t="shared" si="7"/>
        <v>0.24</v>
      </c>
      <c r="L14" s="14">
        <f t="shared" si="8"/>
        <v>513</v>
      </c>
      <c r="M14" s="14">
        <f t="shared" si="9"/>
        <v>8233650</v>
      </c>
      <c r="N14" s="14">
        <f t="shared" si="10"/>
        <v>1368</v>
      </c>
      <c r="O14" s="14">
        <f t="shared" si="11"/>
        <v>3852</v>
      </c>
      <c r="P14" s="14">
        <f t="shared" si="12"/>
        <v>1444.5</v>
      </c>
      <c r="Q14" s="14"/>
      <c r="R14" s="15">
        <f ca="1"/>
        <v>0.36088298078789049</v>
      </c>
      <c r="S14" s="15">
        <f t="shared" si="0"/>
        <v>-6.0882980787890506E-2</v>
      </c>
      <c r="T14" s="14"/>
      <c r="U14" s="15">
        <f ca="1"/>
        <v>4600.1220648166109</v>
      </c>
      <c r="V14" s="15">
        <f t="shared" si="1"/>
        <v>214.87793518338913</v>
      </c>
      <c r="W14" s="5"/>
      <c r="X14" s="10">
        <v>1083.4722156774135</v>
      </c>
      <c r="Y14" s="10">
        <v>-9.4722156774134874</v>
      </c>
      <c r="Z14" s="5"/>
      <c r="AA14" s="16">
        <f t="shared" si="13"/>
        <v>1045.7087209860003</v>
      </c>
      <c r="AB14" s="17">
        <f t="shared" si="2"/>
        <v>800.3964682479774</v>
      </c>
      <c r="AC14">
        <f t="shared" si="14"/>
        <v>3697.9547114682282</v>
      </c>
    </row>
    <row r="15" spans="1:29">
      <c r="A15">
        <v>1977</v>
      </c>
      <c r="B15" s="3">
        <v>1056</v>
      </c>
      <c r="C15" s="5">
        <v>0.4</v>
      </c>
      <c r="D15" s="3">
        <v>1700</v>
      </c>
      <c r="E15" s="4">
        <v>5285</v>
      </c>
      <c r="F15" s="5">
        <v>0.8</v>
      </c>
      <c r="G15" s="5">
        <f t="shared" si="3"/>
        <v>0.16000000000000003</v>
      </c>
      <c r="H15" s="5">
        <f t="shared" si="4"/>
        <v>0.64000000000000012</v>
      </c>
      <c r="I15" s="14">
        <f t="shared" si="5"/>
        <v>2890000</v>
      </c>
      <c r="J15" s="14">
        <f t="shared" si="6"/>
        <v>27931225</v>
      </c>
      <c r="K15" s="5">
        <f t="shared" si="7"/>
        <v>0.32000000000000006</v>
      </c>
      <c r="L15" s="14">
        <f t="shared" si="8"/>
        <v>680</v>
      </c>
      <c r="M15" s="14">
        <f t="shared" si="9"/>
        <v>8984500</v>
      </c>
      <c r="N15" s="14">
        <f t="shared" si="10"/>
        <v>1360</v>
      </c>
      <c r="O15" s="14">
        <f t="shared" si="11"/>
        <v>4228</v>
      </c>
      <c r="P15" s="14">
        <f t="shared" si="12"/>
        <v>2114</v>
      </c>
      <c r="Q15" s="14"/>
      <c r="R15" s="15">
        <f ca="1"/>
        <v>0.36088298078789049</v>
      </c>
      <c r="S15" s="15">
        <f t="shared" si="0"/>
        <v>3.9117019212109527E-2</v>
      </c>
      <c r="T15" s="14"/>
      <c r="U15" s="15">
        <f ca="1"/>
        <v>4600.1220648166109</v>
      </c>
      <c r="V15" s="15">
        <f t="shared" si="1"/>
        <v>684.87793518338913</v>
      </c>
      <c r="W15" s="5"/>
      <c r="X15" s="10">
        <v>1044.9035266802662</v>
      </c>
      <c r="Y15" s="10">
        <v>11.096473319733832</v>
      </c>
      <c r="Z15" s="5"/>
      <c r="AA15" s="16">
        <f t="shared" si="13"/>
        <v>1039.2005040260001</v>
      </c>
      <c r="AB15" s="17">
        <f t="shared" si="2"/>
        <v>282.22306498043918</v>
      </c>
      <c r="AC15">
        <f t="shared" si="14"/>
        <v>1832.7655222790379</v>
      </c>
    </row>
    <row r="16" spans="1:29">
      <c r="A16">
        <v>1978</v>
      </c>
      <c r="B16" s="3">
        <v>1052</v>
      </c>
      <c r="C16" s="5">
        <v>0.4</v>
      </c>
      <c r="D16" s="3">
        <v>1695</v>
      </c>
      <c r="E16" s="4">
        <v>5665</v>
      </c>
      <c r="F16" s="5">
        <v>0.85</v>
      </c>
      <c r="G16" s="5">
        <f t="shared" si="3"/>
        <v>0.16000000000000003</v>
      </c>
      <c r="H16" s="5">
        <f t="shared" si="4"/>
        <v>0.72249999999999992</v>
      </c>
      <c r="I16" s="14">
        <f t="shared" si="5"/>
        <v>2873025</v>
      </c>
      <c r="J16" s="14">
        <f t="shared" si="6"/>
        <v>32092225</v>
      </c>
      <c r="K16" s="5">
        <f t="shared" si="7"/>
        <v>0.34</v>
      </c>
      <c r="L16" s="14">
        <f t="shared" si="8"/>
        <v>678</v>
      </c>
      <c r="M16" s="14">
        <f t="shared" si="9"/>
        <v>9602175</v>
      </c>
      <c r="N16" s="14">
        <f t="shared" si="10"/>
        <v>1440.75</v>
      </c>
      <c r="O16" s="14">
        <f t="shared" si="11"/>
        <v>4815.25</v>
      </c>
      <c r="P16" s="14">
        <f t="shared" si="12"/>
        <v>2266</v>
      </c>
      <c r="Q16" s="14"/>
      <c r="R16" s="15">
        <f ca="1"/>
        <v>0.38924194643896748</v>
      </c>
      <c r="S16" s="15">
        <f t="shared" si="0"/>
        <v>1.0758053561032543E-2</v>
      </c>
      <c r="T16" s="14"/>
      <c r="U16" s="15">
        <f ca="1"/>
        <v>4759.7001503978263</v>
      </c>
      <c r="V16" s="15">
        <f t="shared" si="1"/>
        <v>905.29984960217371</v>
      </c>
      <c r="W16" s="5"/>
      <c r="X16" s="10">
        <v>1042.9730722650024</v>
      </c>
      <c r="Y16" s="10">
        <v>9.026927734997571</v>
      </c>
      <c r="Z16" s="5"/>
      <c r="AA16" s="16">
        <f t="shared" si="13"/>
        <v>1031.1258051195</v>
      </c>
      <c r="AB16" s="17">
        <f t="shared" si="2"/>
        <v>435.73201190909236</v>
      </c>
      <c r="AC16">
        <f t="shared" si="14"/>
        <v>1506.2790357925512</v>
      </c>
    </row>
    <row r="17" spans="1:29">
      <c r="A17">
        <v>1979</v>
      </c>
      <c r="B17" s="3">
        <v>1023</v>
      </c>
      <c r="C17" s="5">
        <v>0.4</v>
      </c>
      <c r="D17" s="3">
        <v>1695</v>
      </c>
      <c r="E17" s="4">
        <v>5800</v>
      </c>
      <c r="F17" s="5">
        <v>1</v>
      </c>
      <c r="G17" s="5">
        <f t="shared" si="3"/>
        <v>0.16000000000000003</v>
      </c>
      <c r="H17" s="5">
        <f t="shared" si="4"/>
        <v>1</v>
      </c>
      <c r="I17" s="14">
        <f t="shared" si="5"/>
        <v>2873025</v>
      </c>
      <c r="J17" s="14">
        <f t="shared" si="6"/>
        <v>33640000</v>
      </c>
      <c r="K17" s="5">
        <f t="shared" si="7"/>
        <v>0.4</v>
      </c>
      <c r="L17" s="14">
        <f t="shared" si="8"/>
        <v>678</v>
      </c>
      <c r="M17" s="14">
        <f t="shared" si="9"/>
        <v>9831000</v>
      </c>
      <c r="N17" s="14">
        <f t="shared" si="10"/>
        <v>1695</v>
      </c>
      <c r="O17" s="14">
        <f t="shared" si="11"/>
        <v>5800</v>
      </c>
      <c r="P17" s="14">
        <f t="shared" si="12"/>
        <v>2320</v>
      </c>
      <c r="Q17" s="14"/>
      <c r="R17" s="15">
        <f ca="1"/>
        <v>0.47431884339219865</v>
      </c>
      <c r="S17" s="15">
        <f t="shared" si="0"/>
        <v>-7.431884339219863E-2</v>
      </c>
      <c r="T17" s="14"/>
      <c r="U17" s="15">
        <f ca="1"/>
        <v>5238.4344071414707</v>
      </c>
      <c r="V17" s="15">
        <f t="shared" si="1"/>
        <v>561.56559285852927</v>
      </c>
      <c r="W17" s="5"/>
      <c r="X17" s="10">
        <v>1037.1817090192112</v>
      </c>
      <c r="Y17" s="10">
        <v>-14.181709019211212</v>
      </c>
      <c r="Z17" s="5"/>
      <c r="AA17" s="16">
        <f t="shared" si="13"/>
        <v>1017.6997658399999</v>
      </c>
      <c r="AB17" s="17">
        <f t="shared" si="2"/>
        <v>28.092482150831533</v>
      </c>
      <c r="AC17">
        <f t="shared" si="14"/>
        <v>96.25200876552276</v>
      </c>
    </row>
    <row r="18" spans="1:29">
      <c r="A18">
        <v>1980</v>
      </c>
      <c r="B18" s="3">
        <v>1027</v>
      </c>
      <c r="C18" s="5">
        <v>0.4</v>
      </c>
      <c r="D18" s="3">
        <v>1690</v>
      </c>
      <c r="E18" s="4">
        <v>5900</v>
      </c>
      <c r="F18" s="5">
        <v>1.05</v>
      </c>
      <c r="G18" s="5">
        <f t="shared" si="3"/>
        <v>0.16000000000000003</v>
      </c>
      <c r="H18" s="5">
        <f t="shared" si="4"/>
        <v>1.1025</v>
      </c>
      <c r="I18" s="14">
        <f t="shared" si="5"/>
        <v>2856100</v>
      </c>
      <c r="J18" s="14">
        <f t="shared" si="6"/>
        <v>34810000</v>
      </c>
      <c r="K18" s="5">
        <f t="shared" si="7"/>
        <v>0.42000000000000004</v>
      </c>
      <c r="L18" s="14">
        <f t="shared" si="8"/>
        <v>676</v>
      </c>
      <c r="M18" s="14">
        <f t="shared" si="9"/>
        <v>9971000</v>
      </c>
      <c r="N18" s="14">
        <f t="shared" si="10"/>
        <v>1774.5</v>
      </c>
      <c r="O18" s="14">
        <f t="shared" si="11"/>
        <v>6195</v>
      </c>
      <c r="P18" s="14">
        <f t="shared" si="12"/>
        <v>2360</v>
      </c>
      <c r="Q18" s="14"/>
      <c r="R18" s="15">
        <f ca="1"/>
        <v>0.50267780904327575</v>
      </c>
      <c r="S18" s="15">
        <f t="shared" si="0"/>
        <v>-0.10267780904327573</v>
      </c>
      <c r="T18" s="14"/>
      <c r="U18" s="15">
        <f ca="1"/>
        <v>5398.0124927226861</v>
      </c>
      <c r="V18" s="15">
        <f t="shared" si="1"/>
        <v>501.98750727731385</v>
      </c>
      <c r="W18" s="5"/>
      <c r="X18" s="10">
        <v>1035.2512546039475</v>
      </c>
      <c r="Y18" s="10">
        <v>-8.2512546039474728</v>
      </c>
      <c r="Z18" s="5"/>
      <c r="AA18" s="16">
        <f t="shared" si="13"/>
        <v>1010.4168125335</v>
      </c>
      <c r="AB18" s="17">
        <f t="shared" si="2"/>
        <v>275.00210654908341</v>
      </c>
      <c r="AC18">
        <f t="shared" si="14"/>
        <v>190.73849525200944</v>
      </c>
    </row>
    <row r="19" spans="1:29">
      <c r="A19">
        <v>1981</v>
      </c>
      <c r="B19" s="3">
        <v>977</v>
      </c>
      <c r="C19" s="5">
        <v>0.4</v>
      </c>
      <c r="D19" s="3">
        <v>1630</v>
      </c>
      <c r="E19" s="4">
        <v>5915</v>
      </c>
      <c r="F19" s="5">
        <v>1.05</v>
      </c>
      <c r="G19" s="5">
        <f t="shared" si="3"/>
        <v>0.16000000000000003</v>
      </c>
      <c r="H19" s="5">
        <f t="shared" si="4"/>
        <v>1.1025</v>
      </c>
      <c r="I19" s="14">
        <f t="shared" si="5"/>
        <v>2656900</v>
      </c>
      <c r="J19" s="14">
        <f t="shared" si="6"/>
        <v>34987225</v>
      </c>
      <c r="K19" s="5">
        <f t="shared" si="7"/>
        <v>0.42000000000000004</v>
      </c>
      <c r="L19" s="14">
        <f t="shared" si="8"/>
        <v>652</v>
      </c>
      <c r="M19" s="14">
        <f t="shared" si="9"/>
        <v>9641450</v>
      </c>
      <c r="N19" s="14">
        <f t="shared" si="10"/>
        <v>1711.5</v>
      </c>
      <c r="O19" s="14">
        <f t="shared" si="11"/>
        <v>6210.75</v>
      </c>
      <c r="P19" s="14">
        <f t="shared" si="12"/>
        <v>2366</v>
      </c>
      <c r="Q19" s="14"/>
      <c r="R19" s="15">
        <f ca="1"/>
        <v>0.50267780904327575</v>
      </c>
      <c r="S19" s="15">
        <f t="shared" si="0"/>
        <v>-0.10267780904327573</v>
      </c>
      <c r="T19" s="14"/>
      <c r="U19" s="15">
        <f ca="1"/>
        <v>5398.0124927226861</v>
      </c>
      <c r="V19" s="15">
        <f t="shared" si="1"/>
        <v>516.98750727731385</v>
      </c>
      <c r="W19" s="5"/>
      <c r="X19" s="10">
        <v>1035.2512546039475</v>
      </c>
      <c r="Y19" s="10">
        <v>-58.251254603947473</v>
      </c>
      <c r="Z19" s="5"/>
      <c r="AA19" s="16">
        <f t="shared" si="13"/>
        <v>973.18260197350014</v>
      </c>
      <c r="AB19" s="17">
        <f t="shared" si="2"/>
        <v>14.572527692725018</v>
      </c>
      <c r="AC19">
        <f t="shared" si="14"/>
        <v>1309.6574141709259</v>
      </c>
    </row>
    <row r="20" spans="1:29">
      <c r="A20">
        <v>1982</v>
      </c>
      <c r="B20" s="3">
        <v>902</v>
      </c>
      <c r="C20" s="5">
        <v>0.75</v>
      </c>
      <c r="D20" s="3">
        <v>1640</v>
      </c>
      <c r="E20" s="4">
        <v>6325</v>
      </c>
      <c r="F20" s="5">
        <v>1.05</v>
      </c>
      <c r="G20" s="5">
        <f t="shared" si="3"/>
        <v>0.5625</v>
      </c>
      <c r="H20" s="5">
        <f t="shared" si="4"/>
        <v>1.1025</v>
      </c>
      <c r="I20" s="14">
        <f t="shared" si="5"/>
        <v>2689600</v>
      </c>
      <c r="J20" s="14">
        <f t="shared" si="6"/>
        <v>40005625</v>
      </c>
      <c r="K20" s="5">
        <f t="shared" si="7"/>
        <v>0.78750000000000009</v>
      </c>
      <c r="L20" s="14">
        <f t="shared" si="8"/>
        <v>1230</v>
      </c>
      <c r="M20" s="14">
        <f t="shared" si="9"/>
        <v>10373000</v>
      </c>
      <c r="N20" s="14">
        <f t="shared" si="10"/>
        <v>1722</v>
      </c>
      <c r="O20" s="14">
        <f t="shared" si="11"/>
        <v>6641.25</v>
      </c>
      <c r="P20" s="14">
        <f t="shared" si="12"/>
        <v>4743.75</v>
      </c>
      <c r="Q20" s="14"/>
      <c r="R20" s="15">
        <f ca="1"/>
        <v>0.50267780904327575</v>
      </c>
      <c r="S20" s="15">
        <f t="shared" si="0"/>
        <v>0.24732219095672425</v>
      </c>
      <c r="T20" s="14"/>
      <c r="U20" s="15">
        <f ca="1"/>
        <v>5398.0124927226861</v>
      </c>
      <c r="V20" s="15">
        <f t="shared" si="1"/>
        <v>926.98750727731385</v>
      </c>
      <c r="W20" s="5"/>
      <c r="X20" s="10">
        <v>923.36133976555573</v>
      </c>
      <c r="Y20" s="10">
        <v>-21.361339765555726</v>
      </c>
      <c r="Z20" s="5"/>
      <c r="AA20" s="16">
        <f t="shared" si="13"/>
        <v>979.28830373350002</v>
      </c>
      <c r="AB20" s="17">
        <f t="shared" si="2"/>
        <v>5973.4818940017522</v>
      </c>
      <c r="AC20">
        <f t="shared" si="14"/>
        <v>12363.035792549301</v>
      </c>
    </row>
    <row r="21" spans="1:29">
      <c r="A21">
        <v>1983</v>
      </c>
      <c r="B21" s="3">
        <v>940</v>
      </c>
      <c r="C21" s="5">
        <v>0.75</v>
      </c>
      <c r="D21" s="3">
        <v>1635</v>
      </c>
      <c r="E21" s="4">
        <v>6500</v>
      </c>
      <c r="F21" s="5">
        <v>1.1000000000000001</v>
      </c>
      <c r="G21" s="5">
        <f t="shared" si="3"/>
        <v>0.5625</v>
      </c>
      <c r="H21" s="5">
        <f t="shared" si="4"/>
        <v>1.2100000000000002</v>
      </c>
      <c r="I21" s="14">
        <f t="shared" si="5"/>
        <v>2673225</v>
      </c>
      <c r="J21" s="14">
        <f t="shared" si="6"/>
        <v>42250000</v>
      </c>
      <c r="K21" s="5">
        <f t="shared" si="7"/>
        <v>0.82500000000000007</v>
      </c>
      <c r="L21" s="14">
        <f t="shared" si="8"/>
        <v>1226.25</v>
      </c>
      <c r="M21" s="14">
        <f t="shared" si="9"/>
        <v>10627500</v>
      </c>
      <c r="N21" s="14">
        <f t="shared" si="10"/>
        <v>1798.5000000000002</v>
      </c>
      <c r="O21" s="14">
        <f t="shared" si="11"/>
        <v>7150.0000000000009</v>
      </c>
      <c r="P21" s="14">
        <f t="shared" si="12"/>
        <v>4875</v>
      </c>
      <c r="Q21" s="14"/>
      <c r="R21" s="15">
        <f ca="1"/>
        <v>0.53103677469435284</v>
      </c>
      <c r="S21" s="15">
        <f t="shared" si="0"/>
        <v>0.21896322530564716</v>
      </c>
      <c r="T21" s="14"/>
      <c r="U21" s="15">
        <f ca="1"/>
        <v>5557.5905783039007</v>
      </c>
      <c r="V21" s="15">
        <f t="shared" si="1"/>
        <v>942.40942169609934</v>
      </c>
      <c r="W21" s="5"/>
      <c r="X21" s="10">
        <v>926.05098468061692</v>
      </c>
      <c r="Y21" s="10">
        <v>13.949015319383079</v>
      </c>
      <c r="Z21" s="5"/>
      <c r="AA21" s="16">
        <f t="shared" si="13"/>
        <v>972.44249066700002</v>
      </c>
      <c r="AB21" s="17">
        <f t="shared" si="2"/>
        <v>1052.5152006783831</v>
      </c>
      <c r="AC21">
        <f t="shared" si="14"/>
        <v>5356.6574141709243</v>
      </c>
    </row>
    <row r="22" spans="1:29">
      <c r="A22">
        <v>1984</v>
      </c>
      <c r="B22" s="3">
        <v>954</v>
      </c>
      <c r="C22" s="5">
        <v>0.75</v>
      </c>
      <c r="D22" s="3">
        <v>1630</v>
      </c>
      <c r="E22" s="4">
        <v>6612</v>
      </c>
      <c r="F22" s="5">
        <v>1.25</v>
      </c>
      <c r="G22" s="5">
        <f t="shared" si="3"/>
        <v>0.5625</v>
      </c>
      <c r="H22" s="5">
        <f t="shared" si="4"/>
        <v>1.5625</v>
      </c>
      <c r="I22" s="14">
        <f t="shared" si="5"/>
        <v>2656900</v>
      </c>
      <c r="J22" s="14">
        <f t="shared" si="6"/>
        <v>43718544</v>
      </c>
      <c r="K22" s="5">
        <f t="shared" si="7"/>
        <v>0.9375</v>
      </c>
      <c r="L22" s="14">
        <f t="shared" si="8"/>
        <v>1222.5</v>
      </c>
      <c r="M22" s="14">
        <f t="shared" si="9"/>
        <v>10777560</v>
      </c>
      <c r="N22" s="14">
        <f t="shared" si="10"/>
        <v>2037.5</v>
      </c>
      <c r="O22" s="14">
        <f t="shared" si="11"/>
        <v>8265</v>
      </c>
      <c r="P22" s="14">
        <f t="shared" si="12"/>
        <v>4959</v>
      </c>
      <c r="Q22" s="14"/>
      <c r="R22" s="15">
        <f ca="1"/>
        <v>0.6161136716475839</v>
      </c>
      <c r="S22" s="15">
        <f t="shared" si="0"/>
        <v>0.1338863283524161</v>
      </c>
      <c r="T22" s="14"/>
      <c r="U22" s="15">
        <f ca="1"/>
        <v>6036.3248350475451</v>
      </c>
      <c r="V22" s="15">
        <f t="shared" si="1"/>
        <v>575.67516495245491</v>
      </c>
      <c r="W22" s="5"/>
      <c r="X22" s="10">
        <v>934.11991942580062</v>
      </c>
      <c r="Y22" s="10">
        <v>19.880080574199383</v>
      </c>
      <c r="Z22" s="5"/>
      <c r="AA22" s="16">
        <f t="shared" si="13"/>
        <v>959.16049130750025</v>
      </c>
      <c r="AB22" s="17">
        <f t="shared" si="2"/>
        <v>26.630670534785654</v>
      </c>
      <c r="AC22">
        <f t="shared" si="14"/>
        <v>3503.3601168736277</v>
      </c>
    </row>
    <row r="23" spans="1:29">
      <c r="A23">
        <v>1985</v>
      </c>
      <c r="B23" s="3">
        <v>941</v>
      </c>
      <c r="C23" s="5">
        <v>0.75</v>
      </c>
      <c r="D23" s="3">
        <v>1620</v>
      </c>
      <c r="E23" s="4">
        <v>6883</v>
      </c>
      <c r="F23" s="5">
        <v>1.3</v>
      </c>
      <c r="G23" s="5">
        <f t="shared" si="3"/>
        <v>0.5625</v>
      </c>
      <c r="H23" s="5">
        <f t="shared" si="4"/>
        <v>1.6900000000000002</v>
      </c>
      <c r="I23" s="14">
        <f t="shared" si="5"/>
        <v>2624400</v>
      </c>
      <c r="J23" s="14">
        <f t="shared" si="6"/>
        <v>47375689</v>
      </c>
      <c r="K23" s="5">
        <f t="shared" si="7"/>
        <v>0.97500000000000009</v>
      </c>
      <c r="L23" s="14">
        <f t="shared" si="8"/>
        <v>1215</v>
      </c>
      <c r="M23" s="14">
        <f t="shared" si="9"/>
        <v>11150460</v>
      </c>
      <c r="N23" s="14">
        <f t="shared" si="10"/>
        <v>2106</v>
      </c>
      <c r="O23" s="14">
        <f t="shared" si="11"/>
        <v>8947.9</v>
      </c>
      <c r="P23" s="14">
        <f t="shared" si="12"/>
        <v>5162.25</v>
      </c>
      <c r="Q23" s="14"/>
      <c r="R23" s="15">
        <f ca="1"/>
        <v>0.644472637298661</v>
      </c>
      <c r="S23" s="15">
        <f t="shared" si="0"/>
        <v>0.105527362701339</v>
      </c>
      <c r="T23" s="14"/>
      <c r="U23" s="15">
        <f ca="1"/>
        <v>6195.9029206287605</v>
      </c>
      <c r="V23" s="15">
        <f t="shared" si="1"/>
        <v>687.09707937123949</v>
      </c>
      <c r="W23" s="5"/>
      <c r="X23" s="10">
        <v>936.80956434086181</v>
      </c>
      <c r="Y23" s="10">
        <v>4.1904356591381884</v>
      </c>
      <c r="Z23" s="5"/>
      <c r="AA23" s="16">
        <f t="shared" si="13"/>
        <v>950.16208208100011</v>
      </c>
      <c r="AB23" s="17">
        <f t="shared" si="2"/>
        <v>83.94374805898326</v>
      </c>
      <c r="AC23">
        <f t="shared" si="14"/>
        <v>5211.279035792546</v>
      </c>
    </row>
    <row r="24" spans="1:29">
      <c r="A24">
        <v>1986</v>
      </c>
      <c r="B24" s="3">
        <v>954</v>
      </c>
      <c r="C24" s="5">
        <v>0.75</v>
      </c>
      <c r="D24" s="3">
        <v>1615</v>
      </c>
      <c r="E24" s="4">
        <v>7005</v>
      </c>
      <c r="F24" s="5">
        <v>1.5</v>
      </c>
      <c r="G24" s="5">
        <f t="shared" si="3"/>
        <v>0.5625</v>
      </c>
      <c r="H24" s="5">
        <f t="shared" si="4"/>
        <v>2.25</v>
      </c>
      <c r="I24" s="14">
        <f t="shared" si="5"/>
        <v>2608225</v>
      </c>
      <c r="J24" s="14">
        <f t="shared" si="6"/>
        <v>49070025</v>
      </c>
      <c r="K24" s="5">
        <f t="shared" si="7"/>
        <v>1.125</v>
      </c>
      <c r="L24" s="14">
        <f t="shared" si="8"/>
        <v>1211.25</v>
      </c>
      <c r="M24" s="14">
        <f t="shared" si="9"/>
        <v>11313075</v>
      </c>
      <c r="N24" s="14">
        <f t="shared" si="10"/>
        <v>2422.5</v>
      </c>
      <c r="O24" s="14">
        <f t="shared" si="11"/>
        <v>10507.5</v>
      </c>
      <c r="P24" s="14">
        <f t="shared" si="12"/>
        <v>5253.75</v>
      </c>
      <c r="Q24" s="14"/>
      <c r="R24" s="15">
        <f ca="1"/>
        <v>0.75790849990296905</v>
      </c>
      <c r="S24" s="15">
        <f t="shared" si="0"/>
        <v>-7.9084999029690461E-3</v>
      </c>
      <c r="T24" s="14"/>
      <c r="U24" s="15">
        <f ca="1"/>
        <v>6834.2152629536204</v>
      </c>
      <c r="V24" s="15">
        <f t="shared" si="1"/>
        <v>170.78473704637963</v>
      </c>
      <c r="W24" s="5"/>
      <c r="X24" s="10">
        <v>947.5681440011067</v>
      </c>
      <c r="Y24" s="10">
        <v>6.4318559988932975</v>
      </c>
      <c r="Z24" s="5"/>
      <c r="AA24" s="16">
        <f t="shared" si="13"/>
        <v>936.93283637500008</v>
      </c>
      <c r="AB24" s="17">
        <f t="shared" si="2"/>
        <v>291.28807420252042</v>
      </c>
      <c r="AC24">
        <f t="shared" si="14"/>
        <v>3503.3601168736277</v>
      </c>
    </row>
    <row r="25" spans="1:29">
      <c r="A25">
        <v>1987</v>
      </c>
      <c r="B25" s="3">
        <v>941</v>
      </c>
      <c r="C25" s="5">
        <v>1</v>
      </c>
      <c r="D25" s="3">
        <v>1605</v>
      </c>
      <c r="E25" s="4">
        <v>7234</v>
      </c>
      <c r="F25" s="5">
        <v>1.55</v>
      </c>
      <c r="G25" s="5">
        <f t="shared" si="3"/>
        <v>1</v>
      </c>
      <c r="H25" s="5">
        <f t="shared" si="4"/>
        <v>2.4025000000000003</v>
      </c>
      <c r="I25" s="14">
        <f t="shared" si="5"/>
        <v>2576025</v>
      </c>
      <c r="J25" s="14">
        <f t="shared" si="6"/>
        <v>52330756</v>
      </c>
      <c r="K25" s="5">
        <f t="shared" si="7"/>
        <v>1.55</v>
      </c>
      <c r="L25" s="14">
        <f t="shared" si="8"/>
        <v>1605</v>
      </c>
      <c r="M25" s="14">
        <f t="shared" si="9"/>
        <v>11610570</v>
      </c>
      <c r="N25" s="14">
        <f t="shared" si="10"/>
        <v>2487.75</v>
      </c>
      <c r="O25" s="14">
        <f t="shared" si="11"/>
        <v>11212.7</v>
      </c>
      <c r="P25" s="14">
        <f t="shared" si="12"/>
        <v>7234</v>
      </c>
      <c r="Q25" s="14"/>
      <c r="R25" s="15">
        <f ca="1"/>
        <v>0.78626746555404614</v>
      </c>
      <c r="S25" s="15">
        <f t="shared" si="0"/>
        <v>0.21373253444595386</v>
      </c>
      <c r="T25" s="14"/>
      <c r="U25" s="15">
        <f ca="1"/>
        <v>6993.7933485348349</v>
      </c>
      <c r="V25" s="15">
        <f t="shared" si="1"/>
        <v>240.20665146516512</v>
      </c>
      <c r="W25" s="5"/>
      <c r="X25" s="10">
        <v>903.3371306767807</v>
      </c>
      <c r="Y25" s="10">
        <v>37.662869323219297</v>
      </c>
      <c r="Z25" s="5"/>
      <c r="AA25" s="16">
        <f t="shared" si="13"/>
        <v>929.05430690849994</v>
      </c>
      <c r="AB25" s="17">
        <f t="shared" si="2"/>
        <v>142.69958343631228</v>
      </c>
      <c r="AC25">
        <f t="shared" si="14"/>
        <v>5211.279035792546</v>
      </c>
    </row>
    <row r="26" spans="1:29">
      <c r="A26">
        <v>1988</v>
      </c>
      <c r="B26" s="3">
        <v>884</v>
      </c>
      <c r="C26" s="5">
        <v>1</v>
      </c>
      <c r="D26" s="3">
        <v>1590</v>
      </c>
      <c r="E26" s="4">
        <v>7500</v>
      </c>
      <c r="F26" s="5">
        <v>1.65</v>
      </c>
      <c r="G26" s="5">
        <f t="shared" si="3"/>
        <v>1</v>
      </c>
      <c r="H26" s="5">
        <f t="shared" si="4"/>
        <v>2.7224999999999997</v>
      </c>
      <c r="I26" s="14">
        <f t="shared" si="5"/>
        <v>2528100</v>
      </c>
      <c r="J26" s="14">
        <f t="shared" si="6"/>
        <v>56250000</v>
      </c>
      <c r="K26" s="5">
        <f t="shared" si="7"/>
        <v>1.65</v>
      </c>
      <c r="L26" s="14">
        <f t="shared" si="8"/>
        <v>1590</v>
      </c>
      <c r="M26" s="14">
        <f t="shared" si="9"/>
        <v>11925000</v>
      </c>
      <c r="N26" s="14">
        <f t="shared" si="10"/>
        <v>2623.5</v>
      </c>
      <c r="O26" s="14">
        <f t="shared" si="11"/>
        <v>12375</v>
      </c>
      <c r="P26" s="14">
        <f t="shared" si="12"/>
        <v>7500</v>
      </c>
      <c r="Q26" s="14"/>
      <c r="R26" s="15">
        <f ca="1"/>
        <v>0.84298539685620022</v>
      </c>
      <c r="S26" s="15">
        <f t="shared" si="0"/>
        <v>0.15701460314379978</v>
      </c>
      <c r="T26" s="14"/>
      <c r="U26" s="15">
        <f ca="1"/>
        <v>7312.9495196972648</v>
      </c>
      <c r="V26" s="15">
        <f t="shared" si="1"/>
        <v>187.0504803027352</v>
      </c>
      <c r="W26" s="5"/>
      <c r="X26" s="10">
        <v>915.31656240736743</v>
      </c>
      <c r="Y26" s="10">
        <v>-31.316562407367428</v>
      </c>
      <c r="Z26" s="5"/>
      <c r="AA26" s="16">
        <f t="shared" si="13"/>
        <v>916.91546485549998</v>
      </c>
      <c r="AB26" s="17">
        <f t="shared" si="2"/>
        <v>1083.4278266536542</v>
      </c>
      <c r="AC26">
        <f t="shared" si="14"/>
        <v>16689.846603360111</v>
      </c>
    </row>
    <row r="27" spans="1:29">
      <c r="A27">
        <v>1989</v>
      </c>
      <c r="B27" s="3">
        <v>927</v>
      </c>
      <c r="C27" s="5">
        <v>1</v>
      </c>
      <c r="D27" s="3">
        <v>1595</v>
      </c>
      <c r="E27" s="4">
        <v>7600</v>
      </c>
      <c r="F27" s="5">
        <v>1.75</v>
      </c>
      <c r="G27" s="5">
        <f t="shared" si="3"/>
        <v>1</v>
      </c>
      <c r="H27" s="5">
        <f t="shared" si="4"/>
        <v>3.0625</v>
      </c>
      <c r="I27" s="14">
        <f t="shared" si="5"/>
        <v>2544025</v>
      </c>
      <c r="J27" s="14">
        <f t="shared" si="6"/>
        <v>57760000</v>
      </c>
      <c r="K27" s="5">
        <f t="shared" si="7"/>
        <v>1.75</v>
      </c>
      <c r="L27" s="14">
        <f t="shared" si="8"/>
        <v>1595</v>
      </c>
      <c r="M27" s="14">
        <f t="shared" si="9"/>
        <v>12122000</v>
      </c>
      <c r="N27" s="14">
        <f t="shared" si="10"/>
        <v>2791.25</v>
      </c>
      <c r="O27" s="14">
        <f t="shared" si="11"/>
        <v>13300</v>
      </c>
      <c r="P27" s="14">
        <f t="shared" si="12"/>
        <v>7600</v>
      </c>
      <c r="Q27" s="14"/>
      <c r="R27" s="15">
        <f ca="1"/>
        <v>0.8997033281583543</v>
      </c>
      <c r="S27" s="15">
        <f t="shared" si="0"/>
        <v>0.1002966718416457</v>
      </c>
      <c r="T27" s="14"/>
      <c r="U27" s="15">
        <f ca="1"/>
        <v>7632.1056908596947</v>
      </c>
      <c r="V27" s="15">
        <f t="shared" si="1"/>
        <v>-32.105690859694732</v>
      </c>
      <c r="W27" s="5"/>
      <c r="X27" s="10">
        <v>927.29599413795404</v>
      </c>
      <c r="Y27" s="10">
        <v>-0.29599413795403962</v>
      </c>
      <c r="Z27" s="5"/>
      <c r="AA27" s="16">
        <f t="shared" si="13"/>
        <v>916.85944744250014</v>
      </c>
      <c r="AB27" s="17">
        <f t="shared" si="2"/>
        <v>102.83080617141694</v>
      </c>
      <c r="AC27">
        <f t="shared" si="14"/>
        <v>7428.5763330898426</v>
      </c>
    </row>
    <row r="28" spans="1:29">
      <c r="A28">
        <v>1990</v>
      </c>
      <c r="B28" s="3">
        <v>962</v>
      </c>
      <c r="C28" s="5">
        <v>1</v>
      </c>
      <c r="D28" s="3">
        <v>1590</v>
      </c>
      <c r="E28" s="4">
        <v>7800</v>
      </c>
      <c r="F28" s="5">
        <v>1.75</v>
      </c>
      <c r="G28" s="5">
        <f t="shared" si="3"/>
        <v>1</v>
      </c>
      <c r="H28" s="5">
        <f t="shared" si="4"/>
        <v>3.0625</v>
      </c>
      <c r="I28" s="14">
        <f t="shared" si="5"/>
        <v>2528100</v>
      </c>
      <c r="J28" s="14">
        <f t="shared" si="6"/>
        <v>60840000</v>
      </c>
      <c r="K28" s="5">
        <f t="shared" si="7"/>
        <v>1.75</v>
      </c>
      <c r="L28" s="14">
        <f t="shared" si="8"/>
        <v>1590</v>
      </c>
      <c r="M28" s="14">
        <f t="shared" si="9"/>
        <v>12402000</v>
      </c>
      <c r="N28" s="14">
        <f t="shared" si="10"/>
        <v>2782.5</v>
      </c>
      <c r="O28" s="14">
        <f t="shared" si="11"/>
        <v>13650</v>
      </c>
      <c r="P28" s="14">
        <f t="shared" si="12"/>
        <v>7800</v>
      </c>
      <c r="Q28" s="14"/>
      <c r="R28" s="15">
        <f ca="1"/>
        <v>0.8997033281583543</v>
      </c>
      <c r="S28" s="15">
        <f t="shared" si="0"/>
        <v>0.1002966718416457</v>
      </c>
      <c r="T28" s="14"/>
      <c r="U28" s="15">
        <f ca="1"/>
        <v>7632.1056908596947</v>
      </c>
      <c r="V28" s="15">
        <f t="shared" si="1"/>
        <v>167.89430914030527</v>
      </c>
      <c r="W28" s="5"/>
      <c r="X28" s="10">
        <v>927.29599413795404</v>
      </c>
      <c r="Y28" s="10">
        <v>34.70400586204596</v>
      </c>
      <c r="Z28" s="5"/>
      <c r="AA28" s="16">
        <f t="shared" si="13"/>
        <v>914.06311784249988</v>
      </c>
      <c r="AB28" s="17">
        <f t="shared" si="2"/>
        <v>2297.9446709820536</v>
      </c>
      <c r="AC28">
        <f t="shared" si="14"/>
        <v>2620.3330898466011</v>
      </c>
    </row>
    <row r="29" spans="1:29">
      <c r="A29">
        <v>1991</v>
      </c>
      <c r="B29" s="3">
        <v>905</v>
      </c>
      <c r="C29" s="5">
        <v>1</v>
      </c>
      <c r="D29" s="3">
        <v>1600</v>
      </c>
      <c r="E29" s="4">
        <v>8000</v>
      </c>
      <c r="F29" s="5">
        <v>1.9</v>
      </c>
      <c r="G29" s="5">
        <f t="shared" si="3"/>
        <v>1</v>
      </c>
      <c r="H29" s="5">
        <f t="shared" si="4"/>
        <v>3.61</v>
      </c>
      <c r="I29" s="14">
        <f t="shared" si="5"/>
        <v>2560000</v>
      </c>
      <c r="J29" s="14">
        <f t="shared" si="6"/>
        <v>64000000</v>
      </c>
      <c r="K29" s="5">
        <f t="shared" si="7"/>
        <v>1.9</v>
      </c>
      <c r="L29" s="14">
        <f t="shared" si="8"/>
        <v>1600</v>
      </c>
      <c r="M29" s="14">
        <f t="shared" si="9"/>
        <v>12800000</v>
      </c>
      <c r="N29" s="14">
        <f t="shared" si="10"/>
        <v>3040</v>
      </c>
      <c r="O29" s="14">
        <f t="shared" si="11"/>
        <v>15200</v>
      </c>
      <c r="P29" s="14">
        <f t="shared" si="12"/>
        <v>8000</v>
      </c>
      <c r="Q29" s="14"/>
      <c r="R29" s="15">
        <f ca="1"/>
        <v>0.98478022511158536</v>
      </c>
      <c r="S29" s="15">
        <f t="shared" si="0"/>
        <v>1.5219774888414639E-2</v>
      </c>
      <c r="T29" s="14"/>
      <c r="U29" s="15">
        <f ca="1"/>
        <v>8110.8399476033392</v>
      </c>
      <c r="V29" s="15">
        <f t="shared" si="1"/>
        <v>-110.83994760333917</v>
      </c>
      <c r="W29" s="5"/>
      <c r="X29" s="10">
        <v>945.26514173383407</v>
      </c>
      <c r="Y29" s="10">
        <v>-40.265141733834071</v>
      </c>
      <c r="Z29" s="5"/>
      <c r="AA29" s="16">
        <f t="shared" si="13"/>
        <v>916.66466240299997</v>
      </c>
      <c r="AB29" s="17">
        <f t="shared" si="2"/>
        <v>136.06434897596094</v>
      </c>
      <c r="AC29">
        <f t="shared" si="14"/>
        <v>11704.900657414166</v>
      </c>
    </row>
    <row r="30" spans="1:29">
      <c r="A30">
        <v>1992</v>
      </c>
      <c r="B30" s="3">
        <v>932</v>
      </c>
      <c r="C30" s="5">
        <v>1</v>
      </c>
      <c r="D30" s="3">
        <v>1610</v>
      </c>
      <c r="E30" s="4">
        <v>8100</v>
      </c>
      <c r="F30" s="5">
        <v>2</v>
      </c>
      <c r="G30" s="5">
        <f t="shared" si="3"/>
        <v>1</v>
      </c>
      <c r="H30" s="5">
        <f t="shared" si="4"/>
        <v>4</v>
      </c>
      <c r="I30" s="14">
        <f t="shared" si="5"/>
        <v>2592100</v>
      </c>
      <c r="J30" s="14">
        <f t="shared" si="6"/>
        <v>65610000</v>
      </c>
      <c r="K30" s="5">
        <f t="shared" si="7"/>
        <v>2</v>
      </c>
      <c r="L30" s="14">
        <f t="shared" si="8"/>
        <v>1610</v>
      </c>
      <c r="M30" s="14">
        <f t="shared" si="9"/>
        <v>13041000</v>
      </c>
      <c r="N30" s="14">
        <f t="shared" si="10"/>
        <v>3220</v>
      </c>
      <c r="O30" s="14">
        <f t="shared" si="11"/>
        <v>16200</v>
      </c>
      <c r="P30" s="14">
        <f t="shared" si="12"/>
        <v>8100</v>
      </c>
      <c r="Q30" s="14"/>
      <c r="R30" s="15">
        <f ca="1"/>
        <v>1.0414981564137396</v>
      </c>
      <c r="S30" s="15">
        <f t="shared" si="0"/>
        <v>-4.1498156413739551E-2</v>
      </c>
      <c r="T30" s="14"/>
      <c r="U30" s="15">
        <f ca="1"/>
        <v>8429.9961187657682</v>
      </c>
      <c r="V30" s="15">
        <f t="shared" si="1"/>
        <v>-329.99611876576819</v>
      </c>
      <c r="W30" s="5"/>
      <c r="X30" s="10">
        <v>957.24457346442068</v>
      </c>
      <c r="Y30" s="10">
        <v>-25.244573464420682</v>
      </c>
      <c r="Z30" s="5"/>
      <c r="AA30" s="16">
        <f t="shared" si="13"/>
        <v>921.0846733100002</v>
      </c>
      <c r="AB30" s="17">
        <f t="shared" si="2"/>
        <v>119.14435674942203</v>
      </c>
      <c r="AC30">
        <f t="shared" si="14"/>
        <v>6591.6844411979509</v>
      </c>
    </row>
    <row r="31" spans="1:29">
      <c r="A31">
        <v>1993</v>
      </c>
      <c r="B31">
        <v>926</v>
      </c>
      <c r="C31" s="5">
        <v>1</v>
      </c>
      <c r="D31" s="3">
        <v>1605</v>
      </c>
      <c r="E31" s="4">
        <v>8250</v>
      </c>
      <c r="F31" s="5">
        <v>2</v>
      </c>
      <c r="G31" s="5">
        <f t="shared" si="3"/>
        <v>1</v>
      </c>
      <c r="H31" s="5">
        <f t="shared" si="4"/>
        <v>4</v>
      </c>
      <c r="I31" s="14">
        <f t="shared" si="5"/>
        <v>2576025</v>
      </c>
      <c r="J31" s="14">
        <f t="shared" si="6"/>
        <v>68062500</v>
      </c>
      <c r="K31" s="5">
        <f t="shared" si="7"/>
        <v>2</v>
      </c>
      <c r="L31" s="14">
        <f t="shared" si="8"/>
        <v>1605</v>
      </c>
      <c r="M31" s="14">
        <f t="shared" si="9"/>
        <v>13241250</v>
      </c>
      <c r="N31" s="14">
        <f t="shared" si="10"/>
        <v>3210</v>
      </c>
      <c r="O31" s="14">
        <f t="shared" si="11"/>
        <v>16500</v>
      </c>
      <c r="P31" s="14">
        <f t="shared" si="12"/>
        <v>8250</v>
      </c>
      <c r="Q31" s="14"/>
      <c r="R31" s="15">
        <f ca="1"/>
        <v>1.0414981564137396</v>
      </c>
      <c r="S31" s="15">
        <f t="shared" si="0"/>
        <v>-4.1498156413739551E-2</v>
      </c>
      <c r="T31" s="14"/>
      <c r="U31" s="15">
        <f ca="1"/>
        <v>8429.9961187657682</v>
      </c>
      <c r="V31" s="15">
        <f t="shared" si="1"/>
        <v>-179.99611876576819</v>
      </c>
      <c r="W31" s="5"/>
      <c r="X31" s="10">
        <v>957.24457346442068</v>
      </c>
      <c r="Y31" s="10">
        <v>-31.244573464420682</v>
      </c>
      <c r="Z31" s="5"/>
      <c r="AA31" s="16">
        <f t="shared" si="13"/>
        <v>918.31960131000005</v>
      </c>
      <c r="AB31" s="17">
        <f t="shared" si="2"/>
        <v>58.988524037352903</v>
      </c>
      <c r="AC31">
        <f t="shared" si="14"/>
        <v>7601.9547114682209</v>
      </c>
    </row>
    <row r="32" spans="1:29">
      <c r="A32">
        <v>1994</v>
      </c>
      <c r="B32">
        <v>934</v>
      </c>
      <c r="C32" s="5">
        <v>1</v>
      </c>
      <c r="D32" s="3">
        <v>1630</v>
      </c>
      <c r="E32" s="4">
        <v>8415</v>
      </c>
      <c r="F32" s="5">
        <v>2</v>
      </c>
      <c r="G32" s="5">
        <f t="shared" si="3"/>
        <v>1</v>
      </c>
      <c r="H32" s="5">
        <f t="shared" si="4"/>
        <v>4</v>
      </c>
      <c r="I32" s="14">
        <f t="shared" si="5"/>
        <v>2656900</v>
      </c>
      <c r="J32" s="14">
        <f t="shared" si="6"/>
        <v>70812225</v>
      </c>
      <c r="K32" s="5">
        <f t="shared" si="7"/>
        <v>2</v>
      </c>
      <c r="L32" s="14">
        <f t="shared" si="8"/>
        <v>1630</v>
      </c>
      <c r="M32" s="14">
        <f t="shared" si="9"/>
        <v>13716450</v>
      </c>
      <c r="N32" s="14">
        <f t="shared" si="10"/>
        <v>3260</v>
      </c>
      <c r="O32" s="14">
        <f t="shared" si="11"/>
        <v>16830</v>
      </c>
      <c r="P32" s="14">
        <f t="shared" si="12"/>
        <v>8415</v>
      </c>
      <c r="Q32" s="14"/>
      <c r="R32" s="15">
        <f ca="1"/>
        <v>1.0414981564137396</v>
      </c>
      <c r="S32" s="15">
        <f t="shared" si="0"/>
        <v>-4.1498156413739551E-2</v>
      </c>
      <c r="T32" s="14"/>
      <c r="U32" s="15">
        <f ca="1"/>
        <v>8429.9961187657682</v>
      </c>
      <c r="V32" s="15">
        <f t="shared" si="1"/>
        <v>-14.996118765768188</v>
      </c>
      <c r="W32" s="5"/>
      <c r="X32" s="10">
        <v>957.24457346442068</v>
      </c>
      <c r="Y32" s="10">
        <v>-23.244573464420682</v>
      </c>
      <c r="Z32" s="5"/>
      <c r="AA32" s="16">
        <f t="shared" si="13"/>
        <v>932.24496131000024</v>
      </c>
      <c r="AB32" s="17">
        <f t="shared" si="2"/>
        <v>3.0801608033960903</v>
      </c>
      <c r="AC32">
        <f t="shared" si="14"/>
        <v>6270.9276844411943</v>
      </c>
    </row>
    <row r="33" spans="1:29">
      <c r="A33">
        <v>1995</v>
      </c>
      <c r="B33">
        <v>982</v>
      </c>
      <c r="C33" s="5">
        <v>1</v>
      </c>
      <c r="D33" s="3">
        <v>1640</v>
      </c>
      <c r="E33" s="4">
        <v>8500</v>
      </c>
      <c r="F33" s="5">
        <v>2.1</v>
      </c>
      <c r="G33" s="5">
        <f t="shared" si="3"/>
        <v>1</v>
      </c>
      <c r="H33" s="5">
        <f t="shared" si="4"/>
        <v>4.41</v>
      </c>
      <c r="I33" s="14">
        <f t="shared" si="5"/>
        <v>2689600</v>
      </c>
      <c r="J33" s="14">
        <f t="shared" si="6"/>
        <v>72250000</v>
      </c>
      <c r="K33" s="5">
        <f t="shared" si="7"/>
        <v>2.1</v>
      </c>
      <c r="L33" s="14">
        <f t="shared" si="8"/>
        <v>1640</v>
      </c>
      <c r="M33" s="14">
        <f t="shared" si="9"/>
        <v>13940000</v>
      </c>
      <c r="N33" s="14">
        <f t="shared" si="10"/>
        <v>3444</v>
      </c>
      <c r="O33" s="14">
        <f t="shared" si="11"/>
        <v>17850</v>
      </c>
      <c r="P33" s="14">
        <f t="shared" si="12"/>
        <v>8500</v>
      </c>
      <c r="Q33" s="14"/>
      <c r="R33" s="15">
        <f ca="1"/>
        <v>1.0982160877158937</v>
      </c>
      <c r="S33" s="15">
        <f t="shared" si="0"/>
        <v>-9.8216087715893741E-2</v>
      </c>
      <c r="T33" s="14"/>
      <c r="U33" s="15">
        <f ca="1"/>
        <v>8749.152289928199</v>
      </c>
      <c r="V33" s="15">
        <f t="shared" si="1"/>
        <v>-249.15228992819902</v>
      </c>
      <c r="W33" s="5"/>
      <c r="X33" s="10">
        <v>969.22400519500729</v>
      </c>
      <c r="Y33" s="10">
        <v>12.775994804992706</v>
      </c>
      <c r="Z33" s="5"/>
      <c r="AA33" s="16">
        <f t="shared" si="13"/>
        <v>937.30943589700018</v>
      </c>
      <c r="AB33" s="17">
        <f t="shared" si="2"/>
        <v>1997.2465198443356</v>
      </c>
      <c r="AC33">
        <f t="shared" si="14"/>
        <v>972.76552227903426</v>
      </c>
    </row>
    <row r="34" spans="1:29">
      <c r="A34">
        <v>1996</v>
      </c>
      <c r="B34">
        <v>1022</v>
      </c>
      <c r="C34" s="5">
        <v>1</v>
      </c>
      <c r="D34" s="3">
        <v>1655</v>
      </c>
      <c r="E34" s="4">
        <v>8676</v>
      </c>
      <c r="F34" s="5">
        <v>2.15</v>
      </c>
      <c r="G34" s="5">
        <f t="shared" si="3"/>
        <v>1</v>
      </c>
      <c r="H34" s="5">
        <f t="shared" si="4"/>
        <v>4.6224999999999996</v>
      </c>
      <c r="I34" s="14">
        <f t="shared" si="5"/>
        <v>2739025</v>
      </c>
      <c r="J34" s="14">
        <f t="shared" si="6"/>
        <v>75272976</v>
      </c>
      <c r="K34" s="5">
        <f t="shared" si="7"/>
        <v>2.15</v>
      </c>
      <c r="L34" s="14">
        <f t="shared" si="8"/>
        <v>1655</v>
      </c>
      <c r="M34" s="14">
        <f t="shared" si="9"/>
        <v>14358780</v>
      </c>
      <c r="N34" s="14">
        <f t="shared" si="10"/>
        <v>3558.25</v>
      </c>
      <c r="O34" s="14">
        <f t="shared" si="11"/>
        <v>18653.399999999998</v>
      </c>
      <c r="P34" s="14">
        <f t="shared" si="12"/>
        <v>8676</v>
      </c>
      <c r="Q34" s="14"/>
      <c r="R34" s="15">
        <f ca="1"/>
        <v>1.1265750533669707</v>
      </c>
      <c r="S34" s="15">
        <f t="shared" si="0"/>
        <v>-0.12657505336697072</v>
      </c>
      <c r="T34" s="14"/>
      <c r="U34" s="15">
        <f ca="1"/>
        <v>8908.7303755094144</v>
      </c>
      <c r="V34" s="15">
        <f t="shared" si="1"/>
        <v>-232.73037550941444</v>
      </c>
      <c r="W34" s="5"/>
      <c r="X34" s="10">
        <v>975.21372106030071</v>
      </c>
      <c r="Y34" s="10">
        <v>46.786278939699287</v>
      </c>
      <c r="Z34" s="5"/>
      <c r="AA34" s="16">
        <f t="shared" si="13"/>
        <v>945.71673651050014</v>
      </c>
      <c r="AB34" s="17">
        <f t="shared" si="2"/>
        <v>5819.1362886084626</v>
      </c>
      <c r="AC34">
        <f t="shared" si="14"/>
        <v>77.630387143901089</v>
      </c>
    </row>
    <row r="35" spans="1:29">
      <c r="A35">
        <v>1997</v>
      </c>
      <c r="B35">
        <v>981</v>
      </c>
      <c r="C35" s="5">
        <v>1</v>
      </c>
      <c r="D35" s="3">
        <v>1660</v>
      </c>
      <c r="E35" s="4">
        <v>8802</v>
      </c>
      <c r="F35" s="5">
        <v>2.15</v>
      </c>
      <c r="G35" s="5">
        <f t="shared" si="3"/>
        <v>1</v>
      </c>
      <c r="H35" s="5">
        <f t="shared" si="4"/>
        <v>4.6224999999999996</v>
      </c>
      <c r="I35" s="14">
        <f t="shared" si="5"/>
        <v>2755600</v>
      </c>
      <c r="J35" s="14">
        <f t="shared" si="6"/>
        <v>77475204</v>
      </c>
      <c r="K35" s="5">
        <f t="shared" si="7"/>
        <v>2.15</v>
      </c>
      <c r="L35" s="14">
        <f t="shared" si="8"/>
        <v>1660</v>
      </c>
      <c r="M35" s="14">
        <f t="shared" si="9"/>
        <v>14611320</v>
      </c>
      <c r="N35" s="14">
        <f t="shared" si="10"/>
        <v>3569</v>
      </c>
      <c r="O35" s="14">
        <f t="shared" si="11"/>
        <v>18924.3</v>
      </c>
      <c r="P35" s="14">
        <f t="shared" si="12"/>
        <v>8802</v>
      </c>
      <c r="Q35" s="14"/>
      <c r="R35" s="15">
        <f ca="1"/>
        <v>1.1265750533669707</v>
      </c>
      <c r="S35" s="15">
        <f t="shared" si="0"/>
        <v>-0.12657505336697072</v>
      </c>
      <c r="T35" s="14"/>
      <c r="U35" s="15">
        <f ca="1"/>
        <v>8908.7303755094144</v>
      </c>
      <c r="V35" s="15">
        <f t="shared" si="1"/>
        <v>-106.73037550941444</v>
      </c>
      <c r="W35" s="5"/>
      <c r="X35" s="10">
        <v>975.21372106030071</v>
      </c>
      <c r="Y35" s="10">
        <v>5.7862789396992866</v>
      </c>
      <c r="Z35" s="5"/>
      <c r="AA35" s="16">
        <f t="shared" si="13"/>
        <v>948.54505395050001</v>
      </c>
      <c r="AB35" s="17">
        <f t="shared" si="2"/>
        <v>1053.3235230759553</v>
      </c>
      <c r="AC35">
        <f t="shared" si="14"/>
        <v>1036.1439006574126</v>
      </c>
    </row>
    <row r="36" spans="1:29">
      <c r="A36">
        <v>1998</v>
      </c>
      <c r="B36">
        <v>1018</v>
      </c>
      <c r="C36" s="5">
        <v>1</v>
      </c>
      <c r="D36" s="3">
        <v>1670</v>
      </c>
      <c r="E36" s="4">
        <v>8900</v>
      </c>
      <c r="F36" s="5">
        <v>2.2000000000000002</v>
      </c>
      <c r="G36" s="5">
        <f t="shared" si="3"/>
        <v>1</v>
      </c>
      <c r="H36" s="5">
        <f t="shared" si="4"/>
        <v>4.8400000000000007</v>
      </c>
      <c r="I36" s="14">
        <f t="shared" si="5"/>
        <v>2788900</v>
      </c>
      <c r="J36" s="14">
        <f t="shared" si="6"/>
        <v>79210000</v>
      </c>
      <c r="K36" s="5">
        <f t="shared" si="7"/>
        <v>2.2000000000000002</v>
      </c>
      <c r="L36" s="14">
        <f t="shared" si="8"/>
        <v>1670</v>
      </c>
      <c r="M36" s="14">
        <f t="shared" si="9"/>
        <v>14863000</v>
      </c>
      <c r="N36" s="14">
        <f t="shared" si="10"/>
        <v>3674.0000000000005</v>
      </c>
      <c r="O36" s="14">
        <f t="shared" si="11"/>
        <v>19580</v>
      </c>
      <c r="P36" s="14">
        <f t="shared" si="12"/>
        <v>8900</v>
      </c>
      <c r="Q36" s="14"/>
      <c r="R36" s="15">
        <f ca="1"/>
        <v>1.1549340190180479</v>
      </c>
      <c r="S36" s="15">
        <f t="shared" si="0"/>
        <v>-0.15493401901804793</v>
      </c>
      <c r="T36" s="14"/>
      <c r="U36" s="15">
        <f ca="1"/>
        <v>9068.3084610906299</v>
      </c>
      <c r="V36" s="15">
        <f t="shared" si="1"/>
        <v>-168.30846109062986</v>
      </c>
      <c r="W36" s="5"/>
      <c r="X36" s="10">
        <v>981.20343692559391</v>
      </c>
      <c r="Y36" s="10">
        <v>36.796563074406095</v>
      </c>
      <c r="Z36" s="5"/>
      <c r="AA36" s="16">
        <f t="shared" si="13"/>
        <v>954.32065000400019</v>
      </c>
      <c r="AB36" s="17">
        <f t="shared" si="2"/>
        <v>4055.0596159130414</v>
      </c>
      <c r="AC36">
        <f t="shared" si="14"/>
        <v>23.143900657414406</v>
      </c>
    </row>
    <row r="37" spans="1:29">
      <c r="A37">
        <v>1999</v>
      </c>
      <c r="B37">
        <v>1017</v>
      </c>
      <c r="C37" s="5">
        <v>1</v>
      </c>
      <c r="D37" s="3">
        <v>1680</v>
      </c>
      <c r="E37" s="4">
        <v>8885</v>
      </c>
      <c r="F37" s="5">
        <v>2.2000000000000002</v>
      </c>
      <c r="G37" s="5">
        <f t="shared" si="3"/>
        <v>1</v>
      </c>
      <c r="H37" s="5">
        <f t="shared" si="4"/>
        <v>4.8400000000000007</v>
      </c>
      <c r="I37" s="14">
        <f t="shared" si="5"/>
        <v>2822400</v>
      </c>
      <c r="J37" s="14">
        <f t="shared" si="6"/>
        <v>78943225</v>
      </c>
      <c r="K37" s="5">
        <f t="shared" si="7"/>
        <v>2.2000000000000002</v>
      </c>
      <c r="L37" s="14">
        <f t="shared" si="8"/>
        <v>1680</v>
      </c>
      <c r="M37" s="14">
        <f t="shared" si="9"/>
        <v>14926800</v>
      </c>
      <c r="N37" s="14">
        <f t="shared" si="10"/>
        <v>3696.0000000000005</v>
      </c>
      <c r="O37" s="14">
        <f t="shared" si="11"/>
        <v>19547</v>
      </c>
      <c r="P37" s="14">
        <f t="shared" si="12"/>
        <v>8885</v>
      </c>
      <c r="Q37" s="14"/>
      <c r="R37" s="15">
        <f ca="1"/>
        <v>1.1549340190180479</v>
      </c>
      <c r="S37" s="15">
        <f t="shared" si="0"/>
        <v>-0.15493401901804793</v>
      </c>
      <c r="T37" s="14"/>
      <c r="U37" s="15">
        <f ca="1"/>
        <v>9068.3084610906299</v>
      </c>
      <c r="V37" s="15">
        <f t="shared" si="1"/>
        <v>-183.30846109062986</v>
      </c>
      <c r="W37" s="5"/>
      <c r="X37" s="10">
        <v>981.20343692559391</v>
      </c>
      <c r="Y37" s="10">
        <v>35.796563074406095</v>
      </c>
      <c r="Z37" s="5"/>
      <c r="AA37" s="16">
        <f t="shared" si="13"/>
        <v>960.02278184399995</v>
      </c>
      <c r="AB37" s="17">
        <f t="shared" si="2"/>
        <v>3246.4033887964215</v>
      </c>
      <c r="AC37">
        <f t="shared" si="14"/>
        <v>14.522279035792737</v>
      </c>
    </row>
    <row r="38" spans="1:29">
      <c r="A38">
        <v>2000</v>
      </c>
      <c r="B38">
        <v>969</v>
      </c>
      <c r="C38" s="5">
        <v>1.25</v>
      </c>
      <c r="D38" s="3">
        <v>1685</v>
      </c>
      <c r="E38" s="4">
        <v>8945</v>
      </c>
      <c r="F38" s="5">
        <v>2.2000000000000002</v>
      </c>
      <c r="G38" s="5">
        <f t="shared" si="3"/>
        <v>1.5625</v>
      </c>
      <c r="H38" s="5">
        <f t="shared" si="4"/>
        <v>4.8400000000000007</v>
      </c>
      <c r="I38" s="14">
        <f t="shared" si="5"/>
        <v>2839225</v>
      </c>
      <c r="J38" s="14">
        <f t="shared" si="6"/>
        <v>80013025</v>
      </c>
      <c r="K38" s="5">
        <f t="shared" si="7"/>
        <v>2.75</v>
      </c>
      <c r="L38" s="14">
        <f t="shared" si="8"/>
        <v>2106.25</v>
      </c>
      <c r="M38" s="14">
        <f t="shared" si="9"/>
        <v>15072325</v>
      </c>
      <c r="N38" s="14">
        <f t="shared" si="10"/>
        <v>3707.0000000000005</v>
      </c>
      <c r="O38" s="14">
        <f t="shared" si="11"/>
        <v>19679</v>
      </c>
      <c r="P38" s="14">
        <f t="shared" si="12"/>
        <v>11181.25</v>
      </c>
      <c r="Q38" s="14"/>
      <c r="R38" s="15">
        <f ca="1"/>
        <v>1.1549340190180479</v>
      </c>
      <c r="S38" s="15">
        <f t="shared" si="0"/>
        <v>9.506598098195207E-2</v>
      </c>
      <c r="T38" s="14"/>
      <c r="U38" s="15">
        <f ca="1"/>
        <v>9068.3084610906299</v>
      </c>
      <c r="V38" s="15">
        <f t="shared" si="1"/>
        <v>-123.30846109062986</v>
      </c>
      <c r="W38" s="5"/>
      <c r="X38" s="10">
        <v>977.18370103922416</v>
      </c>
      <c r="Y38" s="10">
        <v>-8.1837010392241609</v>
      </c>
      <c r="Z38" s="5"/>
      <c r="AA38" s="16">
        <f t="shared" si="13"/>
        <v>962.88884776399993</v>
      </c>
      <c r="AB38" s="17">
        <f t="shared" si="2"/>
        <v>37.346181651568607</v>
      </c>
      <c r="AC38">
        <f t="shared" si="14"/>
        <v>1952.6844411979525</v>
      </c>
    </row>
    <row r="39" spans="1:29">
      <c r="A39">
        <v>2001</v>
      </c>
      <c r="B39">
        <v>975</v>
      </c>
      <c r="C39" s="5">
        <v>1.25</v>
      </c>
      <c r="D39" s="3">
        <v>1695</v>
      </c>
      <c r="E39" s="4">
        <v>8937</v>
      </c>
      <c r="F39" s="5">
        <v>2.25</v>
      </c>
      <c r="G39" s="5">
        <f t="shared" si="3"/>
        <v>1.5625</v>
      </c>
      <c r="H39" s="5">
        <f t="shared" si="4"/>
        <v>5.0625</v>
      </c>
      <c r="I39" s="14">
        <f t="shared" si="5"/>
        <v>2873025</v>
      </c>
      <c r="J39" s="14">
        <f t="shared" si="6"/>
        <v>79869969</v>
      </c>
      <c r="K39" s="5">
        <f t="shared" si="7"/>
        <v>2.8125</v>
      </c>
      <c r="L39" s="14">
        <f t="shared" si="8"/>
        <v>2118.75</v>
      </c>
      <c r="M39" s="14">
        <f t="shared" si="9"/>
        <v>15148215</v>
      </c>
      <c r="N39" s="14">
        <f t="shared" si="10"/>
        <v>3813.75</v>
      </c>
      <c r="O39" s="14">
        <f t="shared" si="11"/>
        <v>20108.25</v>
      </c>
      <c r="P39" s="14">
        <f t="shared" si="12"/>
        <v>11171.25</v>
      </c>
      <c r="Q39" s="14"/>
      <c r="R39" s="15">
        <f ca="1"/>
        <v>1.1832929846691247</v>
      </c>
      <c r="S39" s="15">
        <f t="shared" si="0"/>
        <v>6.6707015330875308E-2</v>
      </c>
      <c r="T39" s="14"/>
      <c r="U39" s="15">
        <f ca="1"/>
        <v>9227.8865466718435</v>
      </c>
      <c r="V39" s="15">
        <f t="shared" si="1"/>
        <v>-290.88654667184346</v>
      </c>
      <c r="W39" s="5"/>
      <c r="X39" s="10">
        <v>986.47348785474969</v>
      </c>
      <c r="Y39" s="10">
        <v>-11.473487854749692</v>
      </c>
      <c r="Z39" s="5"/>
      <c r="AA39" s="16">
        <f t="shared" si="13"/>
        <v>968.85880517750002</v>
      </c>
      <c r="AB39" s="17">
        <f t="shared" si="2"/>
        <v>37.7142738479006</v>
      </c>
      <c r="AC39">
        <f t="shared" si="14"/>
        <v>1458.4141709276826</v>
      </c>
    </row>
    <row r="40" spans="1:29">
      <c r="A40">
        <v>2002</v>
      </c>
      <c r="B40">
        <v>960</v>
      </c>
      <c r="C40" s="5">
        <v>1.25</v>
      </c>
      <c r="D40" s="3">
        <v>1685</v>
      </c>
      <c r="E40" s="4">
        <v>8925</v>
      </c>
      <c r="F40" s="5">
        <v>2.25</v>
      </c>
      <c r="G40" s="5">
        <f t="shared" si="3"/>
        <v>1.5625</v>
      </c>
      <c r="H40" s="5">
        <f t="shared" si="4"/>
        <v>5.0625</v>
      </c>
      <c r="I40" s="14">
        <f t="shared" si="5"/>
        <v>2839225</v>
      </c>
      <c r="J40" s="14">
        <f t="shared" si="6"/>
        <v>79655625</v>
      </c>
      <c r="K40" s="5">
        <f t="shared" si="7"/>
        <v>2.8125</v>
      </c>
      <c r="L40" s="14">
        <f t="shared" si="8"/>
        <v>2106.25</v>
      </c>
      <c r="M40" s="14">
        <f t="shared" si="9"/>
        <v>15038625</v>
      </c>
      <c r="N40" s="14">
        <f t="shared" si="10"/>
        <v>3791.25</v>
      </c>
      <c r="O40" s="14">
        <f t="shared" si="11"/>
        <v>20081.25</v>
      </c>
      <c r="P40" s="14">
        <f t="shared" si="12"/>
        <v>11156.25</v>
      </c>
      <c r="Q40" s="14"/>
      <c r="R40" s="15">
        <f ca="1"/>
        <v>1.1832929846691247</v>
      </c>
      <c r="S40" s="15">
        <f t="shared" si="0"/>
        <v>6.6707015330875308E-2</v>
      </c>
      <c r="T40" s="14"/>
      <c r="U40" s="15">
        <f ca="1"/>
        <v>9227.8865466718435</v>
      </c>
      <c r="V40" s="15">
        <f t="shared" si="1"/>
        <v>-302.88654667184346</v>
      </c>
      <c r="W40" s="5"/>
      <c r="X40" s="10">
        <v>986.47348785474969</v>
      </c>
      <c r="Y40" s="10">
        <v>-26.473487854749692</v>
      </c>
      <c r="Z40" s="5"/>
      <c r="AA40" s="16">
        <f t="shared" si="13"/>
        <v>963.12117637749998</v>
      </c>
      <c r="AB40" s="17">
        <f t="shared" si="2"/>
        <v>9.7417419794638853</v>
      </c>
      <c r="AC40">
        <f t="shared" si="14"/>
        <v>2829.0898466033577</v>
      </c>
    </row>
    <row r="41" spans="1:29">
      <c r="C41" s="6"/>
    </row>
    <row r="42" spans="1:29">
      <c r="AB42" t="s">
        <v>56</v>
      </c>
      <c r="AC42">
        <f>1-SUM(AB4:AB40)/SUM(AC4:AC40)</f>
        <v>0.80900046222822042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16" sqref="F16"/>
    </sheetView>
  </sheetViews>
  <sheetFormatPr defaultRowHeight="12.75"/>
  <cols>
    <col min="1" max="1" width="5.7109375" customWidth="1"/>
    <col min="2" max="2" width="13.7109375" bestFit="1" customWidth="1"/>
    <col min="3" max="3" width="10.7109375" customWidth="1"/>
    <col min="4" max="4" width="11.5703125" bestFit="1" customWidth="1"/>
    <col min="5" max="8" width="10.7109375" customWidth="1"/>
  </cols>
  <sheetData>
    <row r="1" spans="1:8">
      <c r="A1" s="7" t="s">
        <v>7</v>
      </c>
    </row>
    <row r="3" spans="1:8">
      <c r="A3" s="7" t="s">
        <v>8</v>
      </c>
    </row>
    <row r="4" spans="1:8">
      <c r="B4" t="s">
        <v>9</v>
      </c>
      <c r="C4" s="8">
        <v>0.9665009325006193</v>
      </c>
    </row>
    <row r="5" spans="1:8">
      <c r="B5" t="s">
        <v>10</v>
      </c>
      <c r="C5" s="8">
        <v>0.93412405252456665</v>
      </c>
    </row>
    <row r="6" spans="1:8">
      <c r="B6" t="s">
        <v>11</v>
      </c>
      <c r="C6" s="8">
        <v>0.92588955163955688</v>
      </c>
    </row>
    <row r="7" spans="1:8">
      <c r="B7" t="s">
        <v>12</v>
      </c>
      <c r="C7" s="8">
        <v>23.020662307739258</v>
      </c>
    </row>
    <row r="9" spans="1:8">
      <c r="A9" s="7" t="s">
        <v>13</v>
      </c>
    </row>
    <row r="10" spans="1:8">
      <c r="B10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</row>
    <row r="11" spans="1:8">
      <c r="B11" t="s">
        <v>20</v>
      </c>
      <c r="C11" s="9">
        <v>4</v>
      </c>
      <c r="D11" s="8">
        <v>240471.24794130068</v>
      </c>
      <c r="E11" s="8">
        <v>60117.81198532517</v>
      </c>
      <c r="F11" s="8">
        <v>113.44035034750854</v>
      </c>
      <c r="G11" s="8">
        <v>2.0057783933138066E-18</v>
      </c>
    </row>
    <row r="12" spans="1:8">
      <c r="B12" t="s">
        <v>21</v>
      </c>
      <c r="C12" s="9">
        <v>32</v>
      </c>
      <c r="D12" s="8">
        <v>16958.427734375</v>
      </c>
      <c r="E12" s="8">
        <v>529.95086669921875</v>
      </c>
      <c r="F12" s="8"/>
      <c r="G12" s="8"/>
    </row>
    <row r="14" spans="1:8">
      <c r="A14" s="7" t="s">
        <v>22</v>
      </c>
    </row>
    <row r="15" spans="1:8">
      <c r="C15" s="2" t="s">
        <v>23</v>
      </c>
      <c r="D15" s="2" t="s">
        <v>24</v>
      </c>
      <c r="E15" s="2" t="s">
        <v>25</v>
      </c>
      <c r="F15" s="2" t="s">
        <v>19</v>
      </c>
      <c r="G15" s="2" t="s">
        <v>26</v>
      </c>
      <c r="H15" s="2" t="s">
        <v>27</v>
      </c>
    </row>
    <row r="16" spans="1:8">
      <c r="B16" t="s">
        <v>28</v>
      </c>
      <c r="C16" s="8">
        <v>-173.19705200195312</v>
      </c>
      <c r="D16" s="8">
        <v>220.95927429199219</v>
      </c>
      <c r="E16" s="8">
        <v>-0.78384149074554443</v>
      </c>
      <c r="F16" s="8">
        <v>0.43889683485031128</v>
      </c>
      <c r="G16" s="8">
        <f>C16-TINV(0.05,C12)*D16</f>
        <v>-623.27636335369903</v>
      </c>
      <c r="H16" s="8">
        <f>C16+TINV(0.05,C12)*D16</f>
        <v>276.88225934979272</v>
      </c>
    </row>
    <row r="17" spans="2:8">
      <c r="B17" t="s">
        <v>3</v>
      </c>
      <c r="C17" s="8">
        <v>-139.36492919921875</v>
      </c>
      <c r="D17" s="8">
        <v>42.708534240722656</v>
      </c>
      <c r="E17" s="8">
        <v>-3.2631635665893555</v>
      </c>
      <c r="F17" s="8">
        <v>2.622717060148716E-3</v>
      </c>
      <c r="G17" s="8">
        <f>C17-TINV(0.05,C12)*D17</f>
        <v>-226.3593662578109</v>
      </c>
      <c r="H17" s="8">
        <f>C17+TINV(0.05,C12)*D17</f>
        <v>-52.37049214062661</v>
      </c>
    </row>
    <row r="18" spans="2:8">
      <c r="B18" t="s">
        <v>4</v>
      </c>
      <c r="C18" s="8">
        <v>0.77634507417678833</v>
      </c>
      <c r="D18" s="8">
        <v>0.11855730414390564</v>
      </c>
      <c r="E18" s="8">
        <v>6.5482687950134277</v>
      </c>
      <c r="F18" s="8">
        <v>2.2413289002543024E-7</v>
      </c>
      <c r="G18" s="8">
        <f>C18-TINV(0.05,C12)*D18</f>
        <v>0.53485174932863389</v>
      </c>
      <c r="H18" s="8">
        <f>C18+TINV(0.05,C12)*D18</f>
        <v>1.0178383990249429</v>
      </c>
    </row>
    <row r="19" spans="2:8">
      <c r="B19" t="s">
        <v>5</v>
      </c>
      <c r="C19" s="8">
        <v>-3.0903412029147148E-2</v>
      </c>
      <c r="D19" s="8">
        <v>1.0571412742137909E-2</v>
      </c>
      <c r="E19" s="8">
        <v>-2.92330002784729</v>
      </c>
      <c r="F19" s="8">
        <v>6.3116117380559444E-3</v>
      </c>
      <c r="G19" s="8">
        <f>C19-TINV(0.05,C12)*D19</f>
        <v>-5.2436675035383115E-2</v>
      </c>
      <c r="H19" s="8">
        <f>C19+TINV(0.05,C12)*D19</f>
        <v>-9.3701490229111811E-3</v>
      </c>
    </row>
    <row r="20" spans="2:8">
      <c r="B20" t="s">
        <v>6</v>
      </c>
      <c r="C20" s="8">
        <v>131.03521728515625</v>
      </c>
      <c r="D20" s="8">
        <v>33.652904510498047</v>
      </c>
      <c r="E20" s="8">
        <v>3.8937268257141113</v>
      </c>
      <c r="F20" s="8">
        <v>4.7164736315608025E-4</v>
      </c>
      <c r="G20" s="8">
        <f>C20-TINV(0.05,C12)*D20</f>
        <v>62.486494288105987</v>
      </c>
      <c r="H20" s="8">
        <f>C20+TINV(0.05,C12)*D20</f>
        <v>199.58394028220653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workbookViewId="0"/>
  </sheetViews>
  <sheetFormatPr defaultRowHeight="12.75"/>
  <cols>
    <col min="1" max="1" width="5.7109375" customWidth="1"/>
    <col min="2" max="2" width="13.85546875" bestFit="1" customWidth="1"/>
    <col min="3" max="3" width="11.140625" bestFit="1" customWidth="1"/>
    <col min="4" max="4" width="11.5703125" bestFit="1" customWidth="1"/>
    <col min="5" max="6" width="10.7109375" customWidth="1"/>
    <col min="7" max="7" width="11.140625" bestFit="1" customWidth="1"/>
    <col min="8" max="8" width="10.7109375" customWidth="1"/>
  </cols>
  <sheetData>
    <row r="1" spans="1:8">
      <c r="A1" s="7" t="s">
        <v>7</v>
      </c>
    </row>
    <row r="3" spans="1:8">
      <c r="A3" s="7" t="s">
        <v>8</v>
      </c>
    </row>
    <row r="4" spans="1:8">
      <c r="B4" t="s">
        <v>9</v>
      </c>
      <c r="C4" s="8">
        <v>0.9779888570205334</v>
      </c>
    </row>
    <row r="5" spans="1:8">
      <c r="B5" t="s">
        <v>10</v>
      </c>
      <c r="C5" s="8">
        <v>0.95646220445632935</v>
      </c>
    </row>
    <row r="6" spans="1:8">
      <c r="B6" t="s">
        <v>11</v>
      </c>
      <c r="C6" s="8">
        <v>0.92875635623931885</v>
      </c>
    </row>
    <row r="7" spans="1:8">
      <c r="B7" t="s">
        <v>12</v>
      </c>
      <c r="C7" s="8">
        <v>22.571018218994141</v>
      </c>
    </row>
    <row r="9" spans="1:8">
      <c r="A9" s="7" t="s">
        <v>13</v>
      </c>
    </row>
    <row r="10" spans="1:8">
      <c r="B10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</row>
    <row r="11" spans="1:8">
      <c r="B11" t="s">
        <v>20</v>
      </c>
      <c r="C11" s="9">
        <v>14</v>
      </c>
      <c r="D11" s="8">
        <v>246221.75575380068</v>
      </c>
      <c r="E11" s="8">
        <v>17587.268268128621</v>
      </c>
      <c r="F11" s="8">
        <v>34.522008061786799</v>
      </c>
      <c r="G11" s="8">
        <v>1.0329106042040585E-11</v>
      </c>
    </row>
    <row r="12" spans="1:8">
      <c r="B12" t="s">
        <v>21</v>
      </c>
      <c r="C12" s="9">
        <v>22</v>
      </c>
      <c r="D12" s="8">
        <v>11207.919921875</v>
      </c>
      <c r="E12" s="8">
        <v>509.45090553977275</v>
      </c>
      <c r="F12" s="8"/>
      <c r="G12" s="8"/>
    </row>
    <row r="14" spans="1:8">
      <c r="A14" s="7" t="s">
        <v>22</v>
      </c>
    </row>
    <row r="15" spans="1:8">
      <c r="C15" s="2" t="s">
        <v>23</v>
      </c>
      <c r="D15" s="2" t="s">
        <v>24</v>
      </c>
      <c r="E15" s="2" t="s">
        <v>25</v>
      </c>
      <c r="F15" s="2" t="s">
        <v>19</v>
      </c>
      <c r="G15" s="2" t="s">
        <v>26</v>
      </c>
      <c r="H15" s="2" t="s">
        <v>27</v>
      </c>
    </row>
    <row r="16" spans="1:8">
      <c r="B16" t="s">
        <v>28</v>
      </c>
      <c r="C16" s="8">
        <v>-19634.82421875</v>
      </c>
      <c r="D16" s="8">
        <v>25459.173828125</v>
      </c>
      <c r="E16" s="8">
        <v>-0.77122783660888672</v>
      </c>
      <c r="F16" s="8">
        <v>0.44877654314041138</v>
      </c>
      <c r="G16" s="8">
        <f>C16-TINV(0.05,C12)*D16</f>
        <v>-72433.918907872241</v>
      </c>
      <c r="H16" s="8">
        <f>C16+TINV(0.05,C12)*D16</f>
        <v>33164.270470372241</v>
      </c>
    </row>
    <row r="17" spans="2:8">
      <c r="B17" t="s">
        <v>3</v>
      </c>
      <c r="C17" s="8">
        <v>9283.9091796875</v>
      </c>
      <c r="D17" s="8">
        <v>4279.43798828125</v>
      </c>
      <c r="E17" s="8">
        <v>2.1694226264953613</v>
      </c>
      <c r="F17" s="8">
        <v>4.1129015386104584E-2</v>
      </c>
      <c r="G17" s="8">
        <f>C17-TINV(0.05,C12)*D17</f>
        <v>408.89803105867759</v>
      </c>
      <c r="H17" s="8">
        <f>C17+TINV(0.05,C12)*D17</f>
        <v>18158.920328316322</v>
      </c>
    </row>
    <row r="18" spans="2:8">
      <c r="B18" t="s">
        <v>4</v>
      </c>
      <c r="C18" s="8">
        <v>23.511970520019531</v>
      </c>
      <c r="D18" s="8">
        <v>27.340299606323242</v>
      </c>
      <c r="E18" s="8">
        <v>0.85997486114501953</v>
      </c>
      <c r="F18" s="8">
        <v>0.3990776538848877</v>
      </c>
      <c r="G18" s="8">
        <f>C18-TINV(0.05,C12)*D18</f>
        <v>-33.188340239811019</v>
      </c>
      <c r="H18" s="8">
        <f>C18+TINV(0.05,C12)*D18</f>
        <v>80.212281279850089</v>
      </c>
    </row>
    <row r="19" spans="2:8">
      <c r="B19" t="s">
        <v>5</v>
      </c>
      <c r="C19" s="8">
        <v>0.86786067485809326</v>
      </c>
      <c r="D19" s="8">
        <v>1.8003398180007935</v>
      </c>
      <c r="E19" s="8">
        <v>0.48205381631851196</v>
      </c>
      <c r="F19" s="8">
        <v>0.63452881574630737</v>
      </c>
      <c r="G19" s="8">
        <f>C19-TINV(0.05,C12)*D19</f>
        <v>-2.8658155695065743</v>
      </c>
      <c r="H19" s="8">
        <f>C19+TINV(0.05,C12)*D19</f>
        <v>4.6015369192227613</v>
      </c>
    </row>
    <row r="20" spans="2:8">
      <c r="B20" t="s">
        <v>6</v>
      </c>
      <c r="C20" s="8">
        <v>-7650.78271484375</v>
      </c>
      <c r="D20" s="8">
        <v>6058.78125</v>
      </c>
      <c r="E20" s="8">
        <v>-1.2627593278884888</v>
      </c>
      <c r="F20" s="8">
        <v>0.21989655494689941</v>
      </c>
      <c r="G20" s="8">
        <f>C20-TINV(0.05,C12)*D20</f>
        <v>-20215.925915446503</v>
      </c>
      <c r="H20" s="8">
        <f>C20+TINV(0.05,C12)*D20</f>
        <v>4914.3604857590035</v>
      </c>
    </row>
    <row r="21" spans="2:8">
      <c r="B21" t="s">
        <v>31</v>
      </c>
      <c r="C21" s="8">
        <v>-668.71417236328125</v>
      </c>
      <c r="D21" s="8">
        <v>679.34490966796875</v>
      </c>
      <c r="E21" s="8">
        <v>-0.9843515157699585</v>
      </c>
      <c r="F21" s="8">
        <v>0.33564525842666626</v>
      </c>
      <c r="G21" s="8">
        <f>C21-TINV(0.05,C12)*D21</f>
        <v>-2077.5892778275311</v>
      </c>
      <c r="H21" s="8">
        <f>C21+TINV(0.05,C12)*D21</f>
        <v>740.16093310096858</v>
      </c>
    </row>
    <row r="22" spans="2:8">
      <c r="B22" t="s">
        <v>33</v>
      </c>
      <c r="C22" s="8">
        <v>-477.08193969726562</v>
      </c>
      <c r="D22" s="8">
        <v>323.09490966796875</v>
      </c>
      <c r="E22" s="8">
        <v>-1.4765999317169189</v>
      </c>
      <c r="F22" s="8">
        <v>0.15395478904247284</v>
      </c>
      <c r="G22" s="8">
        <f>C22-TINV(0.05,C12)*D22</f>
        <v>-1147.1397681365806</v>
      </c>
      <c r="H22" s="8">
        <f>C22+TINV(0.05,C12)*D22</f>
        <v>192.97588874204928</v>
      </c>
    </row>
    <row r="23" spans="2:8">
      <c r="B23" t="s">
        <v>39</v>
      </c>
      <c r="C23" s="8">
        <v>-6.5062898211181164E-3</v>
      </c>
      <c r="D23" s="8">
        <v>7.3394961655139923E-3</v>
      </c>
      <c r="E23" s="8">
        <v>-0.88647633790969849</v>
      </c>
      <c r="F23" s="8">
        <v>0.38494899868965149</v>
      </c>
      <c r="G23" s="8">
        <f>C23-TINV(0.05,C12)*D23</f>
        <v>-2.1727473180388285E-2</v>
      </c>
      <c r="H23" s="8">
        <f>C23+TINV(0.05,C12)*D23</f>
        <v>8.7148935381520538E-3</v>
      </c>
    </row>
    <row r="24" spans="2:8">
      <c r="B24" t="s">
        <v>40</v>
      </c>
      <c r="C24" s="8">
        <v>2.5306524548796006E-5</v>
      </c>
      <c r="D24" s="8">
        <v>2.7036250685341656E-5</v>
      </c>
      <c r="E24" s="8">
        <v>0.93602198362350464</v>
      </c>
      <c r="F24" s="8">
        <v>0.35942381620407104</v>
      </c>
      <c r="G24" s="8">
        <f>C24-TINV(0.05,C12)*D24</f>
        <v>-3.0763227345400904E-5</v>
      </c>
      <c r="H24" s="8">
        <f>C24+TINV(0.05,C12)*D24</f>
        <v>8.1376276442992915E-5</v>
      </c>
    </row>
    <row r="25" spans="2:8">
      <c r="B25" t="s">
        <v>32</v>
      </c>
      <c r="C25" s="8">
        <v>1906.359375</v>
      </c>
      <c r="D25" s="8">
        <v>879.2794189453125</v>
      </c>
      <c r="E25" s="8">
        <v>2.1680927276611328</v>
      </c>
      <c r="F25" s="8">
        <v>4.1242033243179321E-2</v>
      </c>
      <c r="G25" s="8">
        <f>C25-TINV(0.05,C12)*D25</f>
        <v>82.845477317915311</v>
      </c>
      <c r="H25" s="8">
        <f>C25+TINV(0.05,C12)*D25</f>
        <v>3729.8732726820845</v>
      </c>
    </row>
    <row r="26" spans="2:8">
      <c r="B26" t="s">
        <v>41</v>
      </c>
      <c r="C26" s="8">
        <v>-4.7583413124084473</v>
      </c>
      <c r="D26" s="8">
        <v>2.3809597492218018</v>
      </c>
      <c r="E26" s="8">
        <v>-1.9984971284866333</v>
      </c>
      <c r="F26" s="8">
        <v>5.8169547468423843E-2</v>
      </c>
      <c r="G26" s="8">
        <f>C26-TINV(0.05,C12)*D26</f>
        <v>-9.6961495892534248</v>
      </c>
      <c r="H26" s="8">
        <f>C26+TINV(0.05,C12)*D26</f>
        <v>0.17946696443653032</v>
      </c>
    </row>
    <row r="27" spans="2:8">
      <c r="B27" t="s">
        <v>42</v>
      </c>
      <c r="C27" s="8">
        <v>-6.1064568581059575E-4</v>
      </c>
      <c r="D27" s="8">
        <v>9.8301598336547613E-4</v>
      </c>
      <c r="E27" s="8">
        <v>-0.62119609117507935</v>
      </c>
      <c r="F27" s="8">
        <v>0.54085421562194824</v>
      </c>
      <c r="G27" s="8">
        <f>C27-TINV(0.05,C12)*D27</f>
        <v>-2.6492960496058791E-3</v>
      </c>
      <c r="H27" s="8">
        <f>C27+TINV(0.05,C12)*D27</f>
        <v>1.4280046779846876E-3</v>
      </c>
    </row>
    <row r="28" spans="2:8">
      <c r="B28" t="s">
        <v>43</v>
      </c>
      <c r="C28" s="8">
        <v>4.2326273918151855</v>
      </c>
      <c r="D28" s="8">
        <v>3.3587279319763184</v>
      </c>
      <c r="E28" s="8">
        <v>1.2601876258850098</v>
      </c>
      <c r="F28" s="8">
        <v>0.22080528736114502</v>
      </c>
      <c r="G28" s="8">
        <f>C28-TINV(0.05,C12)*D28</f>
        <v>-2.7329479765225937</v>
      </c>
      <c r="H28" s="8">
        <f>C28+TINV(0.05,C12)*D28</f>
        <v>11.198202760152965</v>
      </c>
    </row>
    <row r="29" spans="2:8">
      <c r="B29" t="s">
        <v>44</v>
      </c>
      <c r="C29" s="8">
        <v>9.4320125877857208E-2</v>
      </c>
      <c r="D29" s="8">
        <v>0.16188351809978485</v>
      </c>
      <c r="E29" s="8">
        <v>0.58264195919036865</v>
      </c>
      <c r="F29" s="8">
        <v>0.56605887413024902</v>
      </c>
      <c r="G29" s="8">
        <f>C29-TINV(0.05,C12)*D29</f>
        <v>-0.2414057408946334</v>
      </c>
      <c r="H29" s="8">
        <f>C29+TINV(0.05,C12)*D29</f>
        <v>0.43004599265034782</v>
      </c>
    </row>
    <row r="30" spans="2:8">
      <c r="B30" t="s">
        <v>45</v>
      </c>
      <c r="C30" s="8">
        <v>-0.47675827145576477</v>
      </c>
      <c r="D30" s="8">
        <v>0.21604986488819122</v>
      </c>
      <c r="E30" s="8">
        <v>-2.20670485496521</v>
      </c>
      <c r="F30" s="8">
        <v>3.8072679191827774E-2</v>
      </c>
      <c r="G30" s="8">
        <f>C30-TINV(0.05,C12)*D30</f>
        <v>-0.92481826550011148</v>
      </c>
      <c r="H30" s="8">
        <f>C30+TINV(0.05,C12)*D30</f>
        <v>-2.8698277411418061E-2</v>
      </c>
    </row>
  </sheetData>
  <phoneticPr fontId="3" type="noConversion"/>
  <pageMargins left="0.75" right="0.75" top="1" bottom="1" header="0.5" footer="0.5"/>
  <pageSetup orientation="portrait" horizontalDpi="4294967293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9"/>
  <sheetViews>
    <sheetView topLeftCell="A61" workbookViewId="0">
      <selection activeCell="A59" sqref="A59"/>
    </sheetView>
  </sheetViews>
  <sheetFormatPr defaultRowHeight="12.75"/>
  <cols>
    <col min="1" max="1" width="5.7109375" customWidth="1"/>
    <col min="2" max="2" width="12" bestFit="1" customWidth="1"/>
    <col min="3" max="3" width="10.7109375" customWidth="1"/>
    <col min="4" max="5" width="11.5703125" bestFit="1" customWidth="1"/>
    <col min="6" max="8" width="10.7109375" customWidth="1"/>
  </cols>
  <sheetData>
    <row r="1" spans="1:7">
      <c r="A1" s="7" t="s">
        <v>34</v>
      </c>
    </row>
    <row r="3" spans="1:7">
      <c r="A3" s="7" t="s">
        <v>46</v>
      </c>
    </row>
    <row r="5" spans="1:7">
      <c r="A5" s="7" t="s">
        <v>8</v>
      </c>
    </row>
    <row r="6" spans="1:7">
      <c r="B6" t="s">
        <v>9</v>
      </c>
      <c r="C6" s="8">
        <v>0.93429009552566222</v>
      </c>
    </row>
    <row r="7" spans="1:7">
      <c r="B7" t="s">
        <v>10</v>
      </c>
      <c r="C7" s="8">
        <v>0.87289798259735107</v>
      </c>
    </row>
    <row r="8" spans="1:7">
      <c r="B8" t="s">
        <v>11</v>
      </c>
      <c r="C8" s="8">
        <v>0.86926651000976563</v>
      </c>
    </row>
    <row r="9" spans="1:7">
      <c r="B9" t="s">
        <v>12</v>
      </c>
      <c r="C9" s="8">
        <v>30.575355529785156</v>
      </c>
    </row>
    <row r="11" spans="1:7">
      <c r="A11" s="7" t="s">
        <v>13</v>
      </c>
    </row>
    <row r="12" spans="1:7">
      <c r="B1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</row>
    <row r="13" spans="1:7">
      <c r="B13" t="s">
        <v>20</v>
      </c>
      <c r="C13" s="9">
        <v>1</v>
      </c>
      <c r="D13" s="8">
        <v>224709.84169130068</v>
      </c>
      <c r="E13" s="8">
        <v>224709.84169130068</v>
      </c>
      <c r="F13" s="8">
        <v>240.36932653604828</v>
      </c>
      <c r="G13" s="8">
        <v>3.0012173329638934E-17</v>
      </c>
    </row>
    <row r="14" spans="1:7">
      <c r="B14" t="s">
        <v>21</v>
      </c>
      <c r="C14" s="9">
        <v>35</v>
      </c>
      <c r="D14" s="8">
        <v>32719.833984375</v>
      </c>
      <c r="E14" s="8">
        <v>934.85239955357144</v>
      </c>
      <c r="F14" s="8"/>
      <c r="G14" s="8"/>
    </row>
    <row r="16" spans="1:7">
      <c r="A16" s="7" t="s">
        <v>22</v>
      </c>
    </row>
    <row r="17" spans="1:8">
      <c r="C17" s="2" t="s">
        <v>23</v>
      </c>
      <c r="D17" s="2" t="s">
        <v>24</v>
      </c>
      <c r="E17" s="2" t="s">
        <v>25</v>
      </c>
      <c r="F17" s="2" t="s">
        <v>19</v>
      </c>
      <c r="G17" s="2" t="s">
        <v>26</v>
      </c>
      <c r="H17" s="2" t="s">
        <v>27</v>
      </c>
    </row>
    <row r="18" spans="1:8">
      <c r="B18" t="s">
        <v>28</v>
      </c>
      <c r="C18" s="8">
        <v>-82.830558776855469</v>
      </c>
      <c r="D18" s="8">
        <v>70.871871948242188</v>
      </c>
      <c r="E18" s="8">
        <v>-1.1687366962432861</v>
      </c>
      <c r="F18" s="8">
        <v>0.25040867924690247</v>
      </c>
      <c r="G18" s="8">
        <f>C18-TINV(0.05,C14)*D18</f>
        <v>-226.7081070016211</v>
      </c>
      <c r="H18" s="8">
        <f>C18+TINV(0.05,C14)*D18</f>
        <v>61.046989447910164</v>
      </c>
    </row>
    <row r="19" spans="1:8">
      <c r="B19" t="s">
        <v>39</v>
      </c>
      <c r="C19" s="8">
        <v>3.9025154546834528E-4</v>
      </c>
      <c r="D19" s="8">
        <v>2.5171269953716546E-5</v>
      </c>
      <c r="E19" s="8">
        <v>15.503848075866699</v>
      </c>
      <c r="F19" s="8">
        <v>3.0012213662179729E-17</v>
      </c>
      <c r="G19" s="8">
        <f>C19-TINV(0.05,C14)*D19</f>
        <v>3.3915115109341907E-4</v>
      </c>
      <c r="H19" s="8">
        <f>C19+TINV(0.05,C14)*D19</f>
        <v>4.413519398432715E-4</v>
      </c>
    </row>
    <row r="21" spans="1:8">
      <c r="A21" s="7" t="s">
        <v>47</v>
      </c>
    </row>
    <row r="23" spans="1:8">
      <c r="A23" s="7" t="s">
        <v>8</v>
      </c>
      <c r="D23" s="2" t="s">
        <v>35</v>
      </c>
      <c r="E23" s="2" t="s">
        <v>36</v>
      </c>
    </row>
    <row r="24" spans="1:8">
      <c r="B24" t="s">
        <v>9</v>
      </c>
      <c r="C24" s="8">
        <v>0.95147969554298872</v>
      </c>
      <c r="D24" s="8">
        <v>1.7189600017326553E-2</v>
      </c>
      <c r="E24" s="11">
        <v>1.8398568174540178E-2</v>
      </c>
    </row>
    <row r="25" spans="1:8">
      <c r="B25" t="s">
        <v>10</v>
      </c>
      <c r="C25" s="8">
        <v>0.90531361103057861</v>
      </c>
      <c r="D25" s="8">
        <v>3.2415628433227539E-2</v>
      </c>
      <c r="E25" s="11">
        <v>3.7135642021894455E-2</v>
      </c>
    </row>
    <row r="26" spans="1:8">
      <c r="B26" t="s">
        <v>11</v>
      </c>
      <c r="C26" s="8">
        <v>0.89974379539489746</v>
      </c>
      <c r="D26" s="8">
        <v>3.0477285385131836E-2</v>
      </c>
      <c r="E26" s="11">
        <v>3.5060923546552658E-2</v>
      </c>
    </row>
    <row r="27" spans="1:8">
      <c r="B27" t="s">
        <v>12</v>
      </c>
      <c r="C27" s="8">
        <v>26.775257110595703</v>
      </c>
      <c r="D27" s="8">
        <v>-3.8000984191894531</v>
      </c>
      <c r="E27" s="11">
        <v>-0.12428631633520126</v>
      </c>
    </row>
    <row r="29" spans="1:8">
      <c r="A29" s="7" t="s">
        <v>13</v>
      </c>
    </row>
    <row r="30" spans="1:8">
      <c r="B30" t="s">
        <v>14</v>
      </c>
      <c r="C30" s="2" t="s">
        <v>15</v>
      </c>
      <c r="D30" s="2" t="s">
        <v>16</v>
      </c>
      <c r="E30" s="2" t="s">
        <v>17</v>
      </c>
      <c r="F30" s="2" t="s">
        <v>18</v>
      </c>
      <c r="G30" s="2" t="s">
        <v>19</v>
      </c>
    </row>
    <row r="31" spans="1:8">
      <c r="B31" t="s">
        <v>20</v>
      </c>
      <c r="C31" s="9">
        <v>2</v>
      </c>
      <c r="D31" s="8">
        <v>233054.58583192568</v>
      </c>
      <c r="E31" s="8">
        <v>116527.29291596284</v>
      </c>
      <c r="F31" s="8">
        <v>162.54003511534179</v>
      </c>
      <c r="G31" s="8">
        <v>3.9526600567979621E-18</v>
      </c>
    </row>
    <row r="32" spans="1:8">
      <c r="B32" t="s">
        <v>21</v>
      </c>
      <c r="C32" s="9">
        <v>34</v>
      </c>
      <c r="D32" s="8">
        <v>24375.08984375</v>
      </c>
      <c r="E32" s="8">
        <v>716.91440716911768</v>
      </c>
      <c r="F32" s="8"/>
      <c r="G32" s="8"/>
    </row>
    <row r="34" spans="1:8">
      <c r="A34" s="7" t="s">
        <v>22</v>
      </c>
    </row>
    <row r="35" spans="1:8">
      <c r="C35" s="2" t="s">
        <v>23</v>
      </c>
      <c r="D35" s="2" t="s">
        <v>24</v>
      </c>
      <c r="E35" s="2" t="s">
        <v>25</v>
      </c>
      <c r="F35" s="2" t="s">
        <v>19</v>
      </c>
      <c r="G35" s="2" t="s">
        <v>26</v>
      </c>
      <c r="H35" s="2" t="s">
        <v>27</v>
      </c>
    </row>
    <row r="36" spans="1:8">
      <c r="B36" t="s">
        <v>28</v>
      </c>
      <c r="C36" s="8">
        <v>165.35929870605469</v>
      </c>
      <c r="D36" s="8">
        <v>95.623764038085938</v>
      </c>
      <c r="E36" s="8">
        <v>1.7292698621749878</v>
      </c>
      <c r="F36" s="8">
        <v>9.2831946909427643E-2</v>
      </c>
      <c r="G36" s="8">
        <f>C36-TINV(0.05,C32)*D36</f>
        <v>-28.971569623057007</v>
      </c>
      <c r="H36" s="8">
        <f>C36+TINV(0.05,C32)*D36</f>
        <v>359.69016703516638</v>
      </c>
    </row>
    <row r="37" spans="1:8">
      <c r="B37" t="s">
        <v>39</v>
      </c>
      <c r="C37" s="8">
        <v>3.1618756474927068E-4</v>
      </c>
      <c r="D37" s="8">
        <v>3.0937917472328991E-5</v>
      </c>
      <c r="E37" s="8">
        <v>10.220066070556641</v>
      </c>
      <c r="F37" s="8">
        <v>6.6608212001550982E-12</v>
      </c>
      <c r="G37" s="8">
        <f>C37-TINV(0.05,C32)*D37</f>
        <v>2.5331415219151469E-4</v>
      </c>
      <c r="H37" s="8">
        <f>C37+TINV(0.05,C32)*D37</f>
        <v>3.7906097730702667E-4</v>
      </c>
    </row>
    <row r="38" spans="1:8">
      <c r="B38" t="s">
        <v>41</v>
      </c>
      <c r="C38" s="8">
        <v>-3.5788219422101974E-2</v>
      </c>
      <c r="D38" s="8">
        <v>1.048980001360178E-2</v>
      </c>
      <c r="E38" s="8">
        <v>-3.4117159843444824</v>
      </c>
      <c r="F38" s="8">
        <v>1.6819965094327927E-3</v>
      </c>
      <c r="G38" s="8">
        <f>C38-TINV(0.05,C32)*D38</f>
        <v>-5.7106057783181882E-2</v>
      </c>
      <c r="H38" s="8">
        <f>C38+TINV(0.05,C32)*D38</f>
        <v>-1.447038106102207E-2</v>
      </c>
    </row>
    <row r="40" spans="1:8">
      <c r="A40" s="7" t="s">
        <v>37</v>
      </c>
    </row>
    <row r="42" spans="1:8">
      <c r="A42" s="7" t="s">
        <v>8</v>
      </c>
      <c r="D42" s="2" t="s">
        <v>35</v>
      </c>
      <c r="E42" s="2" t="s">
        <v>36</v>
      </c>
    </row>
    <row r="43" spans="1:8">
      <c r="B43" t="s">
        <v>9</v>
      </c>
      <c r="C43" s="8">
        <v>0.96111916166276923</v>
      </c>
      <c r="D43" s="8">
        <v>9.6394661197804557E-3</v>
      </c>
      <c r="E43" s="11">
        <v>1.0131026615633056E-2</v>
      </c>
    </row>
    <row r="44" spans="1:8">
      <c r="B44" t="s">
        <v>10</v>
      </c>
      <c r="C44" s="8">
        <v>0.92375004291534424</v>
      </c>
      <c r="D44" s="8">
        <v>1.8436431884765625E-2</v>
      </c>
      <c r="E44" s="11">
        <v>2.0364690572023392E-2</v>
      </c>
    </row>
    <row r="45" spans="1:8">
      <c r="B45" t="s">
        <v>11</v>
      </c>
      <c r="C45" s="8">
        <v>0.91681826114654541</v>
      </c>
      <c r="D45" s="8">
        <v>1.7074465751647949E-2</v>
      </c>
      <c r="E45" s="11">
        <v>1.8977031111717224E-2</v>
      </c>
    </row>
    <row r="46" spans="1:8">
      <c r="B46" t="s">
        <v>12</v>
      </c>
      <c r="C46" s="8">
        <v>24.388893127441406</v>
      </c>
      <c r="D46" s="8">
        <v>-2.3863639831542969</v>
      </c>
      <c r="E46" s="11">
        <v>-8.912571519613266E-2</v>
      </c>
    </row>
    <row r="48" spans="1:8">
      <c r="A48" s="7" t="s">
        <v>13</v>
      </c>
    </row>
    <row r="49" spans="1:8">
      <c r="B49" t="s">
        <v>14</v>
      </c>
      <c r="C49" s="2" t="s">
        <v>15</v>
      </c>
      <c r="D49" s="2" t="s">
        <v>16</v>
      </c>
      <c r="E49" s="2" t="s">
        <v>17</v>
      </c>
      <c r="F49" s="2" t="s">
        <v>18</v>
      </c>
      <c r="G49" s="2" t="s">
        <v>19</v>
      </c>
    </row>
    <row r="50" spans="1:8">
      <c r="B50" t="s">
        <v>20</v>
      </c>
      <c r="C50" s="9">
        <v>3</v>
      </c>
      <c r="D50" s="8">
        <v>237800.67958192568</v>
      </c>
      <c r="E50" s="8">
        <v>79266.893193975222</v>
      </c>
      <c r="F50" s="8">
        <v>133.26241764519338</v>
      </c>
      <c r="G50" s="8">
        <v>1.6278778534930714E-18</v>
      </c>
    </row>
    <row r="51" spans="1:8">
      <c r="B51" t="s">
        <v>21</v>
      </c>
      <c r="C51" s="9">
        <v>33</v>
      </c>
      <c r="D51" s="8">
        <v>19628.99609375</v>
      </c>
      <c r="E51" s="8">
        <v>594.81806344696975</v>
      </c>
      <c r="F51" s="8"/>
      <c r="G51" s="8"/>
    </row>
    <row r="53" spans="1:8">
      <c r="A53" s="7" t="s">
        <v>22</v>
      </c>
    </row>
    <row r="54" spans="1:8">
      <c r="C54" s="2" t="s">
        <v>23</v>
      </c>
      <c r="D54" s="2" t="s">
        <v>24</v>
      </c>
      <c r="E54" s="2" t="s">
        <v>25</v>
      </c>
      <c r="F54" s="2" t="s">
        <v>19</v>
      </c>
      <c r="G54" s="2" t="s">
        <v>26</v>
      </c>
      <c r="H54" s="2" t="s">
        <v>27</v>
      </c>
    </row>
    <row r="55" spans="1:8">
      <c r="B55" t="s">
        <v>28</v>
      </c>
      <c r="C55" s="8">
        <v>314.83721923828125</v>
      </c>
      <c r="D55" s="8">
        <v>101.91617584228516</v>
      </c>
      <c r="E55" s="8">
        <v>3.0891780853271484</v>
      </c>
      <c r="F55" s="8">
        <v>4.0552029386162758E-3</v>
      </c>
      <c r="G55" s="8">
        <f>C55-TINV(0.05,C51)*D55</f>
        <v>107.48720147200683</v>
      </c>
      <c r="H55" s="8">
        <f>C55+TINV(0.05,C51)*D55</f>
        <v>522.18723700455564</v>
      </c>
    </row>
    <row r="56" spans="1:8">
      <c r="B56" t="s">
        <v>39</v>
      </c>
      <c r="C56" s="8">
        <v>2.7361410320736468E-4</v>
      </c>
      <c r="D56" s="8">
        <v>3.1957792089087889E-5</v>
      </c>
      <c r="E56" s="8">
        <v>8.5617332458496094</v>
      </c>
      <c r="F56" s="8">
        <v>6.7942029779999302E-10</v>
      </c>
      <c r="G56" s="8">
        <f>C56-TINV(0.05,C51)*D56</f>
        <v>2.0859548665627195E-4</v>
      </c>
      <c r="H56" s="8">
        <f>C56+TINV(0.05,C51)*D56</f>
        <v>3.3863271975845743E-4</v>
      </c>
    </row>
    <row r="57" spans="1:8">
      <c r="B57" t="s">
        <v>41</v>
      </c>
      <c r="C57" s="8">
        <v>-0.10432698577642441</v>
      </c>
      <c r="D57" s="8">
        <v>2.607741579413414E-2</v>
      </c>
      <c r="E57" s="8">
        <v>-4.000664234161377</v>
      </c>
      <c r="F57" s="8">
        <v>3.3582272590138018E-4</v>
      </c>
      <c r="G57" s="8">
        <f>C57-TINV(0.05,C51)*D57</f>
        <v>-0.15738188686081933</v>
      </c>
      <c r="H57" s="8">
        <f>C57+TINV(0.05,C51)*D57</f>
        <v>-5.1272084692029478E-2</v>
      </c>
    </row>
    <row r="58" spans="1:8">
      <c r="B58" t="s">
        <v>33</v>
      </c>
      <c r="C58" s="8">
        <v>21.077110290527344</v>
      </c>
      <c r="D58" s="8">
        <v>7.4616522789001465</v>
      </c>
      <c r="E58" s="8">
        <v>2.8247241973876953</v>
      </c>
      <c r="F58" s="8">
        <v>7.9674199223518372E-3</v>
      </c>
      <c r="G58" s="8">
        <f>C58-TINV(0.05,C51)*D58</f>
        <v>5.8962646611745306</v>
      </c>
      <c r="H58" s="8">
        <f>C58+TINV(0.05,C51)*D58</f>
        <v>36.25795591988016</v>
      </c>
    </row>
    <row r="60" spans="1:8">
      <c r="A60" s="7" t="s">
        <v>38</v>
      </c>
    </row>
    <row r="62" spans="1:8">
      <c r="A62" s="7" t="s">
        <v>8</v>
      </c>
      <c r="D62" s="2" t="s">
        <v>35</v>
      </c>
      <c r="E62" s="2" t="s">
        <v>36</v>
      </c>
    </row>
    <row r="63" spans="1:8">
      <c r="B63" t="s">
        <v>9</v>
      </c>
      <c r="C63" s="8">
        <v>0.9665268337848556</v>
      </c>
      <c r="D63" s="8">
        <v>5.4076721220864205E-3</v>
      </c>
      <c r="E63" s="11">
        <v>5.6264325359313009E-3</v>
      </c>
    </row>
    <row r="64" spans="1:8">
      <c r="B64" t="s">
        <v>10</v>
      </c>
      <c r="C64" s="8">
        <v>0.93417412042617798</v>
      </c>
      <c r="D64" s="8">
        <v>1.042407751083374E-2</v>
      </c>
      <c r="E64" s="11">
        <v>1.1284521780908108E-2</v>
      </c>
    </row>
    <row r="65" spans="1:8">
      <c r="B65" t="s">
        <v>11</v>
      </c>
      <c r="C65" s="8">
        <v>0.92594587802886963</v>
      </c>
      <c r="D65" s="8">
        <v>9.1276168823242188E-3</v>
      </c>
      <c r="E65" s="11">
        <v>9.9557535722851753E-3</v>
      </c>
    </row>
    <row r="66" spans="1:8">
      <c r="B66" t="s">
        <v>12</v>
      </c>
      <c r="C66" s="8">
        <v>23.011907577514648</v>
      </c>
      <c r="D66" s="8">
        <v>-1.3769855499267578</v>
      </c>
      <c r="E66" s="11">
        <v>-5.6459534913301468E-2</v>
      </c>
    </row>
    <row r="68" spans="1:8">
      <c r="A68" s="7" t="s">
        <v>13</v>
      </c>
    </row>
    <row r="69" spans="1:8">
      <c r="B69" t="s">
        <v>14</v>
      </c>
      <c r="C69" s="2" t="s">
        <v>15</v>
      </c>
      <c r="D69" s="2" t="s">
        <v>16</v>
      </c>
      <c r="E69" s="2" t="s">
        <v>17</v>
      </c>
      <c r="F69" s="2" t="s">
        <v>18</v>
      </c>
      <c r="G69" s="2" t="s">
        <v>19</v>
      </c>
    </row>
    <row r="70" spans="1:8">
      <c r="B70" t="s">
        <v>20</v>
      </c>
      <c r="C70" s="9">
        <v>4</v>
      </c>
      <c r="D70" s="8">
        <v>240484.14247255068</v>
      </c>
      <c r="E70" s="8">
        <v>60121.03561813767</v>
      </c>
      <c r="F70" s="8">
        <v>113.53275914773904</v>
      </c>
      <c r="G70" s="8">
        <v>1.9816147882869928E-18</v>
      </c>
    </row>
    <row r="71" spans="1:8">
      <c r="B71" t="s">
        <v>21</v>
      </c>
      <c r="C71" s="9">
        <v>32</v>
      </c>
      <c r="D71" s="8">
        <v>16945.533203125</v>
      </c>
      <c r="E71" s="8">
        <v>529.54791259765625</v>
      </c>
      <c r="F71" s="8"/>
      <c r="G71" s="8"/>
    </row>
    <row r="73" spans="1:8">
      <c r="A73" s="7" t="s">
        <v>22</v>
      </c>
    </row>
    <row r="74" spans="1:8">
      <c r="C74" s="2" t="s">
        <v>23</v>
      </c>
      <c r="D74" s="2" t="s">
        <v>24</v>
      </c>
      <c r="E74" s="2" t="s">
        <v>25</v>
      </c>
      <c r="F74" s="2" t="s">
        <v>19</v>
      </c>
      <c r="G74" s="2" t="s">
        <v>26</v>
      </c>
      <c r="H74" s="2" t="s">
        <v>27</v>
      </c>
    </row>
    <row r="75" spans="1:8">
      <c r="B75" t="s">
        <v>28</v>
      </c>
      <c r="C75" s="8">
        <v>596.49078369140625</v>
      </c>
      <c r="D75" s="8">
        <v>157.80265808105469</v>
      </c>
      <c r="E75" s="8">
        <v>3.7799792289733887</v>
      </c>
      <c r="F75" s="8">
        <v>6.4707716228440404E-4</v>
      </c>
      <c r="G75" s="8">
        <f>C75-TINV(0.05,C71)*D75</f>
        <v>275.05728918807057</v>
      </c>
      <c r="H75" s="8">
        <f>C75+TINV(0.05,C71)*D75</f>
        <v>917.92427819474187</v>
      </c>
    </row>
    <row r="76" spans="1:8">
      <c r="B76" t="s">
        <v>39</v>
      </c>
      <c r="C76" s="8">
        <v>2.0637654233723879E-4</v>
      </c>
      <c r="D76" s="8">
        <v>4.2442581616342068E-5</v>
      </c>
      <c r="E76" s="8">
        <v>4.86248779296875</v>
      </c>
      <c r="F76" s="8">
        <v>2.9624188755406067E-5</v>
      </c>
      <c r="G76" s="8">
        <f>C76-TINV(0.05,C71)*D76</f>
        <v>1.1992383304462049E-4</v>
      </c>
      <c r="H76" s="8">
        <f>C76+TINV(0.05,C71)*D76</f>
        <v>2.9282925162985707E-4</v>
      </c>
    </row>
    <row r="77" spans="1:8">
      <c r="B77" t="s">
        <v>41</v>
      </c>
      <c r="C77" s="8">
        <v>-8.642452210187912E-2</v>
      </c>
      <c r="D77" s="8">
        <v>2.5858405977487564E-2</v>
      </c>
      <c r="E77" s="8">
        <v>-3.3422214984893799</v>
      </c>
      <c r="F77" s="8">
        <v>2.1269130520522594E-3</v>
      </c>
      <c r="G77" s="8">
        <f>C77-TINV(0.05,C71)*D77</f>
        <v>-0.13909637121205362</v>
      </c>
      <c r="H77" s="8">
        <f>C77+TINV(0.05,C71)*D77</f>
        <v>-3.3752672991704619E-2</v>
      </c>
    </row>
    <row r="78" spans="1:8">
      <c r="B78" t="s">
        <v>33</v>
      </c>
      <c r="C78" s="8">
        <v>36.024364471435547</v>
      </c>
      <c r="D78" s="8">
        <v>9.6776056289672852</v>
      </c>
      <c r="E78" s="8">
        <v>3.7224459648132324</v>
      </c>
      <c r="F78" s="8">
        <v>7.5856008334085345E-4</v>
      </c>
      <c r="G78" s="8">
        <f>C78-TINV(0.05,C71)*D78</f>
        <v>16.311726968546942</v>
      </c>
      <c r="H78" s="8">
        <f>C78+TINV(0.05,C71)*D78</f>
        <v>55.737001974324151</v>
      </c>
    </row>
    <row r="79" spans="1:8">
      <c r="B79" t="s">
        <v>5</v>
      </c>
      <c r="C79" s="8">
        <v>-2.2876320406794548E-2</v>
      </c>
      <c r="D79" s="8">
        <v>1.0162278078496456E-2</v>
      </c>
      <c r="E79" s="8">
        <v>-2.2511014938354492</v>
      </c>
      <c r="F79" s="8">
        <v>3.1379241496324539E-2</v>
      </c>
      <c r="G79" s="8">
        <f>C79-TINV(0.05,C71)*D79</f>
        <v>-4.3576203378397835E-2</v>
      </c>
      <c r="H79" s="8">
        <f>C79+TINV(0.05,C71)*D79</f>
        <v>-2.1764374351912648E-3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F7" sqref="F7"/>
    </sheetView>
  </sheetViews>
  <sheetFormatPr defaultRowHeight="12.75"/>
  <cols>
    <col min="1" max="1" width="5.7109375" customWidth="1"/>
    <col min="2" max="2" width="13.85546875" bestFit="1" customWidth="1"/>
    <col min="3" max="4" width="13.7109375" bestFit="1" customWidth="1"/>
    <col min="5" max="6" width="10.7109375" customWidth="1"/>
    <col min="7" max="7" width="12.140625" bestFit="1" customWidth="1"/>
    <col min="8" max="11" width="10.7109375" customWidth="1"/>
    <col min="12" max="12" width="13.85546875" bestFit="1" customWidth="1"/>
    <col min="13" max="13" width="10.7109375" customWidth="1"/>
    <col min="14" max="14" width="11" bestFit="1" customWidth="1"/>
    <col min="15" max="15" width="10.7109375" customWidth="1"/>
    <col min="16" max="16" width="11.5703125" bestFit="1" customWidth="1"/>
    <col min="17" max="17" width="12" bestFit="1" customWidth="1"/>
  </cols>
  <sheetData>
    <row r="1" spans="1:17">
      <c r="A1" s="7" t="s">
        <v>48</v>
      </c>
    </row>
    <row r="2" spans="1:17"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32</v>
      </c>
      <c r="I2" s="2" t="s">
        <v>31</v>
      </c>
      <c r="J2" s="2" t="s">
        <v>33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</row>
    <row r="3" spans="1:17">
      <c r="B3" t="s">
        <v>2</v>
      </c>
      <c r="C3" s="10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>
      <c r="B4" t="s">
        <v>3</v>
      </c>
      <c r="C4" s="10">
        <f ca="1">CORREL(Data!Price_per_Ride,Data!Weekly_Riders)</f>
        <v>-0.80350923225390225</v>
      </c>
      <c r="D4" s="10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>
      <c r="B5" t="s">
        <v>4</v>
      </c>
      <c r="C5" s="10">
        <f ca="1">CORREL(Data!Population,Data!Weekly_Riders)</f>
        <v>0.93279309285162526</v>
      </c>
      <c r="D5" s="10">
        <f ca="1">CORREL(Data!Population,Data!Price_per_Ride)</f>
        <v>-0.72834331283767972</v>
      </c>
      <c r="E5" s="10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B6" t="s">
        <v>5</v>
      </c>
      <c r="C6" s="10">
        <f ca="1">CORREL(Data!Income,Data!Weekly_Riders)</f>
        <v>-0.80972841335132928</v>
      </c>
      <c r="D6" s="10">
        <f ca="1">CORREL(Data!Income,Data!Price_per_Ride)</f>
        <v>0.96071044928280058</v>
      </c>
      <c r="E6" s="10">
        <f ca="1">CORREL(Data!Income,Data!Population)</f>
        <v>-0.75056344978974032</v>
      </c>
      <c r="F6" s="10">
        <v>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B7" t="s">
        <v>6</v>
      </c>
      <c r="C7" s="10">
        <f ca="1">CORREL(Data!Parking_Rate,Data!Weekly_Riders)</f>
        <v>-0.69839230362200921</v>
      </c>
      <c r="D7" s="10">
        <f ca="1">CORREL(Data!Parking_Rate,Data!Price_per_Ride)</f>
        <v>0.95793817502487721</v>
      </c>
      <c r="E7" s="10">
        <f ca="1">CORREL(Data!Parking_Rate,Data!Population)</f>
        <v>-0.64494527474606045</v>
      </c>
      <c r="F7" s="10">
        <f ca="1">CORREL(Data!Parking_Rate,Data!Income)</f>
        <v>0.9699361517275632</v>
      </c>
      <c r="G7" s="10">
        <v>1</v>
      </c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B8" t="s">
        <v>32</v>
      </c>
      <c r="C8" s="10">
        <f ca="1">CORREL(Data!Price_Park,Data!Weekly_Riders)</f>
        <v>-0.66853626494178575</v>
      </c>
      <c r="D8" s="10">
        <f ca="1">CORREL(Data!Price_Park,Data!Price_per_Ride)</f>
        <v>0.97036095451804194</v>
      </c>
      <c r="E8" s="10">
        <f ca="1">CORREL(Data!Price_Park,Data!Population)</f>
        <v>-0.58377408054930235</v>
      </c>
      <c r="F8" s="10">
        <f ca="1">CORREL(Data!Price_Park,Data!Income)</f>
        <v>0.94169326663618835</v>
      </c>
      <c r="G8" s="10">
        <f ca="1">CORREL(Data!Price_Park,Data!Parking_Rate)</f>
        <v>0.98430058164580658</v>
      </c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</row>
    <row r="9" spans="1:17">
      <c r="B9" t="s">
        <v>31</v>
      </c>
      <c r="C9" s="10">
        <f ca="1">CORREL(Data!Price_Price,Data!Weekly_Riders)</f>
        <v>-0.71467593321646794</v>
      </c>
      <c r="D9" s="10">
        <f ca="1">CORREL(Data!Price_Price,Data!Price_per_Ride)</f>
        <v>0.98358336487214471</v>
      </c>
      <c r="E9" s="10">
        <f ca="1">CORREL(Data!Price_Price,Data!Population)</f>
        <v>-0.61409478040428711</v>
      </c>
      <c r="F9" s="10">
        <f ca="1">CORREL(Data!Price_Price,Data!Income)</f>
        <v>0.92250704987850674</v>
      </c>
      <c r="G9" s="10">
        <f ca="1">CORREL(Data!Price_Price,Data!Parking_Rate)</f>
        <v>0.95059476737932624</v>
      </c>
      <c r="H9" s="10">
        <f ca="1">CORREL(Data!Price_Price,Data!Price_Park)</f>
        <v>0.98564905956490534</v>
      </c>
      <c r="I9" s="10">
        <v>1</v>
      </c>
      <c r="J9" s="10"/>
      <c r="K9" s="10"/>
      <c r="L9" s="10"/>
      <c r="M9" s="10"/>
      <c r="N9" s="10"/>
      <c r="O9" s="10"/>
      <c r="P9" s="10"/>
      <c r="Q9" s="10"/>
    </row>
    <row r="10" spans="1:17">
      <c r="B10" t="s">
        <v>33</v>
      </c>
      <c r="C10" s="10">
        <f ca="1">CORREL(Data!Park_Park,Data!Weekly_Riders)</f>
        <v>-0.60350040428361407</v>
      </c>
      <c r="D10" s="10">
        <f ca="1">CORREL(Data!Park_Park,Data!Price_per_Ride)</f>
        <v>0.92889241712751469</v>
      </c>
      <c r="E10" s="10">
        <f ca="1">CORREL(Data!Park_Park,Data!Population)</f>
        <v>-0.53640021165699969</v>
      </c>
      <c r="F10" s="10">
        <f ca="1">CORREL(Data!Park_Park,Data!Income)</f>
        <v>0.93472395175878231</v>
      </c>
      <c r="G10" s="10">
        <f ca="1">CORREL(Data!Park_Park,Data!Parking_Rate)</f>
        <v>0.99004991500803385</v>
      </c>
      <c r="H10" s="10">
        <f ca="1">CORREL(Data!Park_Park,Data!Price_Park)</f>
        <v>0.98506853729151056</v>
      </c>
      <c r="I10" s="10">
        <f ca="1">CORREL(Data!Park_Park,Data!Price_Price)</f>
        <v>0.94207166499368644</v>
      </c>
      <c r="J10" s="10">
        <v>1</v>
      </c>
      <c r="K10" s="10"/>
      <c r="L10" s="10"/>
      <c r="M10" s="10"/>
      <c r="N10" s="10"/>
      <c r="O10" s="10"/>
      <c r="P10" s="10"/>
      <c r="Q10" s="10"/>
    </row>
    <row r="11" spans="1:17">
      <c r="B11" t="s">
        <v>39</v>
      </c>
      <c r="C11" s="10">
        <f ca="1">CORREL(Data!Pop_pop,Data!Weekly_Riders)</f>
        <v>0.93429009093260829</v>
      </c>
      <c r="D11" s="10">
        <f ca="1">CORREL(Data!Pop_pop,Data!Price_per_Ride)</f>
        <v>-0.73043283124065372</v>
      </c>
      <c r="E11" s="10">
        <f ca="1">CORREL(Data!Pop_pop,Data!Population)</f>
        <v>0.99983613263600424</v>
      </c>
      <c r="F11" s="10">
        <f ca="1">CORREL(Data!Pop_pop,Data!Income)</f>
        <v>-0.75534593001655448</v>
      </c>
      <c r="G11" s="10">
        <f ca="1">CORREL(Data!Pop_pop,Data!Parking_Rate)</f>
        <v>-0.64834304940573551</v>
      </c>
      <c r="H11" s="10">
        <f ca="1">CORREL(Data!Pop_pop,Data!Price_Park)</f>
        <v>-0.58633686672238494</v>
      </c>
      <c r="I11" s="10">
        <f ca="1">CORREL(Data!Pop_pop,Data!Price_Price)</f>
        <v>-0.6157754511291107</v>
      </c>
      <c r="J11" s="10">
        <f ca="1">CORREL(Data!Pop_pop,Data!Park_Park)</f>
        <v>-0.53983641593433584</v>
      </c>
      <c r="K11" s="10">
        <v>1</v>
      </c>
      <c r="L11" s="10"/>
      <c r="M11" s="10"/>
      <c r="N11" s="10"/>
      <c r="O11" s="10"/>
      <c r="P11" s="10"/>
      <c r="Q11" s="10"/>
    </row>
    <row r="12" spans="1:17">
      <c r="B12" t="s">
        <v>40</v>
      </c>
      <c r="C12" s="10">
        <f ca="1">CORREL(Data!Income_Income,Data!Weekly_Riders)</f>
        <v>-0.74408392124239686</v>
      </c>
      <c r="D12" s="10">
        <f ca="1">CORREL(Data!Income_Income,Data!Price_per_Ride)</f>
        <v>0.96496230773608704</v>
      </c>
      <c r="E12" s="10">
        <f ca="1">CORREL(Data!Income_Income,Data!Population)</f>
        <v>-0.67708939819041991</v>
      </c>
      <c r="F12" s="10">
        <f ca="1">CORREL(Data!Income_Income,Data!Income)</f>
        <v>0.99122167557429475</v>
      </c>
      <c r="G12" s="10">
        <f ca="1">CORREL(Data!Income_Income,Data!Parking_Rate)</f>
        <v>0.9900151874019163</v>
      </c>
      <c r="H12" s="10">
        <f ca="1">CORREL(Data!Income_Income,Data!Price_Park)</f>
        <v>0.97195943658076012</v>
      </c>
      <c r="I12" s="10">
        <f ca="1">CORREL(Data!Income_Income,Data!Price_Price)</f>
        <v>0.94521864446132819</v>
      </c>
      <c r="J12" s="10">
        <f ca="1">CORREL(Data!Income_Income,Data!Park_Park)</f>
        <v>0.97162490492488551</v>
      </c>
      <c r="K12" s="10">
        <f ca="1">CORREL(Data!Income_Income,Data!Pop_pop)</f>
        <v>-0.68138884955555734</v>
      </c>
      <c r="L12" s="10">
        <v>1</v>
      </c>
      <c r="M12" s="10"/>
      <c r="N12" s="10"/>
      <c r="O12" s="10"/>
      <c r="P12" s="10"/>
      <c r="Q12" s="10"/>
    </row>
    <row r="13" spans="1:17">
      <c r="B13" t="s">
        <v>41</v>
      </c>
      <c r="C13" s="10">
        <f ca="1">CORREL(Data!Price_Pop,Data!Weekly_Riders)</f>
        <v>-0.78385719380909979</v>
      </c>
      <c r="D13" s="10">
        <f ca="1">CORREL(Data!Price_Pop,Data!Price_per_Ride)</f>
        <v>0.99879102598124236</v>
      </c>
      <c r="E13" s="10">
        <f ca="1">CORREL(Data!Price_Pop,Data!Population)</f>
        <v>-0.69906426350663953</v>
      </c>
      <c r="F13" s="10">
        <f ca="1">CORREL(Data!Price_Pop,Data!Income)</f>
        <v>0.96058400202387639</v>
      </c>
      <c r="G13" s="10">
        <f ca="1">CORREL(Data!Price_Pop,Data!Parking_Rate)</f>
        <v>0.96099851780424173</v>
      </c>
      <c r="H13" s="10">
        <f ca="1">CORREL(Data!Price_Pop,Data!Price_Park)</f>
        <v>0.97640600293348423</v>
      </c>
      <c r="I13" s="10">
        <f ca="1">CORREL(Data!Price_Pop,Data!Price_Price)</f>
        <v>0.98763880490229916</v>
      </c>
      <c r="J13" s="10">
        <f ca="1">CORREL(Data!Price_Pop,Data!Park_Park)</f>
        <v>0.9368358422227353</v>
      </c>
      <c r="K13" s="10">
        <f ca="1">CORREL(Data!Price_Pop,Data!Pop_pop)</f>
        <v>-0.70168660460932042</v>
      </c>
      <c r="L13" s="10">
        <f ca="1">CORREL(Data!Price_Pop,Data!Income_Income)</f>
        <v>0.9682360608257321</v>
      </c>
      <c r="M13" s="10">
        <v>1</v>
      </c>
      <c r="N13" s="10"/>
      <c r="O13" s="10"/>
      <c r="P13" s="10"/>
      <c r="Q13" s="10"/>
    </row>
    <row r="14" spans="1:17">
      <c r="B14" t="s">
        <v>42</v>
      </c>
      <c r="C14" s="10">
        <f ca="1">CORREL(Data!Income_Pop,Data!Weekly_Riders)</f>
        <v>-0.77315147223607295</v>
      </c>
      <c r="D14" s="10">
        <f ca="1">CORREL(Data!Income_Pop,Data!Price_per_Ride)</f>
        <v>0.95364576096826636</v>
      </c>
      <c r="E14" s="10">
        <f ca="1">CORREL(Data!Income_Pop,Data!Population)</f>
        <v>-0.69970674374449737</v>
      </c>
      <c r="F14" s="10">
        <f ca="1">CORREL(Data!Income_Pop,Data!Income)</f>
        <v>0.99694250166071074</v>
      </c>
      <c r="G14" s="10">
        <f ca="1">CORREL(Data!Income_Pop,Data!Parking_Rate)</f>
        <v>0.97228385218295221</v>
      </c>
      <c r="H14" s="10">
        <f ca="1">CORREL(Data!Income_Pop,Data!Price_Park)</f>
        <v>0.94765800229788422</v>
      </c>
      <c r="I14" s="10">
        <f ca="1">CORREL(Data!Income_Pop,Data!Price_Price)</f>
        <v>0.92388267651751144</v>
      </c>
      <c r="J14" s="10">
        <f ca="1">CORREL(Data!Income_Pop,Data!Park_Park)</f>
        <v>0.94530306835976696</v>
      </c>
      <c r="K14" s="10">
        <f ca="1">CORREL(Data!Income_Pop,Data!Pop_pop)</f>
        <v>-0.70529780566202238</v>
      </c>
      <c r="L14" s="10">
        <f ca="1">CORREL(Data!Income_Pop,Data!Income_Income)</f>
        <v>0.9937537539093203</v>
      </c>
      <c r="M14" s="10">
        <f ca="1">CORREL(Data!Income_Pop,Data!Price_Pop)</f>
        <v>0.95727627287045591</v>
      </c>
      <c r="N14" s="10">
        <v>1</v>
      </c>
      <c r="O14" s="10"/>
      <c r="P14" s="10"/>
      <c r="Q14" s="10"/>
    </row>
    <row r="15" spans="1:17">
      <c r="B15" t="s">
        <v>43</v>
      </c>
      <c r="C15" s="10">
        <f ca="1">CORREL(Data!Pop_Park,Data!Weekly_Riders)</f>
        <v>-0.66738508163947208</v>
      </c>
      <c r="D15" s="10">
        <f ca="1">CORREL(Data!Pop_Park,Data!Price_per_Ride)</f>
        <v>0.9495504806577848</v>
      </c>
      <c r="E15" s="10">
        <f ca="1">CORREL(Data!Pop_Park,Data!Population)</f>
        <v>-0.60391838698224287</v>
      </c>
      <c r="F15" s="10">
        <f ca="1">CORREL(Data!Pop_Park,Data!Income)</f>
        <v>0.96308605484541199</v>
      </c>
      <c r="G15" s="10">
        <f ca="1">CORREL(Data!Pop_Park,Data!Parking_Rate)</f>
        <v>0.99831589974088675</v>
      </c>
      <c r="H15" s="10">
        <f ca="1">CORREL(Data!Pop_Park,Data!Price_Park)</f>
        <v>0.98578679551112225</v>
      </c>
      <c r="I15" s="10">
        <f ca="1">CORREL(Data!Pop_Park,Data!Price_Price)</f>
        <v>0.9489890420874354</v>
      </c>
      <c r="J15" s="10">
        <f ca="1">CORREL(Data!Pop_Park,Data!Park_Park)</f>
        <v>0.99475175434704355</v>
      </c>
      <c r="K15" s="10">
        <f ca="1">CORREL(Data!Pop_Park,Data!Pop_pop)</f>
        <v>-0.6078568334312805</v>
      </c>
      <c r="L15" s="10">
        <f ca="1">CORREL(Data!Pop_Park,Data!Income_Income)</f>
        <v>0.9877798648235061</v>
      </c>
      <c r="M15" s="10">
        <f ca="1">CORREL(Data!Pop_Park,Data!Price_Pop)</f>
        <v>0.9554044332947137</v>
      </c>
      <c r="N15" s="10">
        <f ca="1">CORREL(Data!Pop_Park,Data!Income_Pop)</f>
        <v>0.96991458997822533</v>
      </c>
      <c r="O15" s="10">
        <v>1</v>
      </c>
      <c r="P15" s="10"/>
      <c r="Q15" s="10"/>
    </row>
    <row r="16" spans="1:17">
      <c r="B16" t="s">
        <v>44</v>
      </c>
      <c r="C16" s="10">
        <f ca="1">CORREL(Data!Income_Park,Data!Weekly_Riders)</f>
        <v>-0.66419479112119595</v>
      </c>
      <c r="D16" s="10">
        <f ca="1">CORREL(Data!Income_Park,Data!Price_per_Ride)</f>
        <v>0.95022570786401039</v>
      </c>
      <c r="E16" s="10">
        <f ca="1">CORREL(Data!Income_Park,Data!Population)</f>
        <v>-0.59844877165199029</v>
      </c>
      <c r="F16" s="10">
        <f ca="1">CORREL(Data!Income_Park,Data!Income)</f>
        <v>0.96292223317254955</v>
      </c>
      <c r="G16" s="10">
        <f ca="1">CORREL(Data!Income_Park,Data!Parking_Rate)</f>
        <v>0.99735767016921173</v>
      </c>
      <c r="H16" s="10">
        <f ca="1">CORREL(Data!Income_Park,Data!Price_Park)</f>
        <v>0.98702857461570348</v>
      </c>
      <c r="I16" s="10">
        <f ca="1">CORREL(Data!Income_Park,Data!Price_Price)</f>
        <v>0.95040656842951632</v>
      </c>
      <c r="J16" s="10">
        <f ca="1">CORREL(Data!Income_Park,Data!Park_Park)</f>
        <v>0.99575763121623495</v>
      </c>
      <c r="K16" s="10">
        <f ca="1">CORREL(Data!Income_Park,Data!Pop_pop)</f>
        <v>-0.60211917522580238</v>
      </c>
      <c r="L16" s="10">
        <f ca="1">CORREL(Data!Income_Park,Data!Income_Income)</f>
        <v>0.98909840497907053</v>
      </c>
      <c r="M16" s="10">
        <f ca="1">CORREL(Data!Income_Park,Data!Price_Pop)</f>
        <v>0.95605392877938167</v>
      </c>
      <c r="N16" s="10">
        <f ca="1">CORREL(Data!Income_Park,Data!Income_Pop)</f>
        <v>0.96987265154435542</v>
      </c>
      <c r="O16" s="10">
        <f ca="1">CORREL(Data!Income_Park,Data!Pop_Park)</f>
        <v>0.99901711029865115</v>
      </c>
      <c r="P16" s="10">
        <v>1</v>
      </c>
      <c r="Q16" s="10"/>
    </row>
    <row r="17" spans="2:17">
      <c r="B17" t="s">
        <v>45</v>
      </c>
      <c r="C17" s="10">
        <f ca="1">CORREL(Data!Price_Income,Data!Weekly_Riders)</f>
        <v>-0.73769110816980921</v>
      </c>
      <c r="D17" s="10">
        <f ca="1">CORREL(Data!Price_Income,Data!Price_per_Ride)</f>
        <v>0.99083190306675639</v>
      </c>
      <c r="E17" s="10">
        <f ca="1">CORREL(Data!Price_Income,Data!Population)</f>
        <v>-0.65282993918376941</v>
      </c>
      <c r="F17" s="10">
        <f ca="1">CORREL(Data!Price_Income,Data!Income)</f>
        <v>0.96223006147944701</v>
      </c>
      <c r="G17" s="10">
        <f ca="1">CORREL(Data!Price_Income,Data!Parking_Rate)</f>
        <v>0.97985634413075251</v>
      </c>
      <c r="H17" s="10">
        <f ca="1">CORREL(Data!Price_Income,Data!Price_Park)</f>
        <v>0.99309739802082642</v>
      </c>
      <c r="I17" s="10">
        <f ca="1">CORREL(Data!Price_Income,Data!Price_Price)</f>
        <v>0.99061730721361163</v>
      </c>
      <c r="J17" s="10">
        <f ca="1">CORREL(Data!Price_Income,Data!Park_Park)</f>
        <v>0.96683405200471895</v>
      </c>
      <c r="K17" s="10">
        <f ca="1">CORREL(Data!Price_Income,Data!Pop_pop)</f>
        <v>-0.65541088112106349</v>
      </c>
      <c r="L17" s="10">
        <f ca="1">CORREL(Data!Price_Income,Data!Income_Income)</f>
        <v>0.98001386844534133</v>
      </c>
      <c r="M17" s="10">
        <f ca="1">CORREL(Data!Price_Income,Data!Price_Pop)</f>
        <v>0.99407064889150754</v>
      </c>
      <c r="N17" s="10">
        <f ca="1">CORREL(Data!Price_Income,Data!Income_Pop)</f>
        <v>0.96315265621593371</v>
      </c>
      <c r="O17" s="10">
        <f ca="1">CORREL(Data!Price_Income,Data!Pop_Park)</f>
        <v>0.97734973332169894</v>
      </c>
      <c r="P17" s="10">
        <f ca="1">CORREL(Data!Price_Income,Data!Income_Park)</f>
        <v>0.97900753442030042</v>
      </c>
      <c r="Q17" s="10">
        <v>1</v>
      </c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workbookViewId="0"/>
  </sheetViews>
  <sheetFormatPr defaultRowHeight="12.75"/>
  <cols>
    <col min="1" max="1" width="5.7109375" customWidth="1"/>
    <col min="2" max="2" width="12.140625" bestFit="1" customWidth="1"/>
    <col min="3" max="3" width="10.7109375" customWidth="1"/>
    <col min="4" max="5" width="14.7109375" bestFit="1" customWidth="1"/>
    <col min="6" max="8" width="10.7109375" customWidth="1"/>
  </cols>
  <sheetData>
    <row r="1" spans="1:8">
      <c r="A1" s="7" t="s">
        <v>49</v>
      </c>
    </row>
    <row r="3" spans="1:8">
      <c r="A3" s="7" t="s">
        <v>8</v>
      </c>
    </row>
    <row r="4" spans="1:8">
      <c r="B4" t="s">
        <v>9</v>
      </c>
      <c r="C4" s="8">
        <f ca="1">ABS(CORREL(Data!Income,Data!Parking_Rate))</f>
        <v>0.9699361517275632</v>
      </c>
    </row>
    <row r="5" spans="1:8">
      <c r="B5" t="s">
        <v>10</v>
      </c>
      <c r="C5" s="8">
        <f ca="1">RSQ(Data!Income,Data!Parking_Rate)</f>
        <v>0.9407761384280745</v>
      </c>
    </row>
    <row r="6" spans="1:8">
      <c r="B6" t="s">
        <v>12</v>
      </c>
      <c r="C6" s="8">
        <f ca="1">STEYX(Data!Income,Data!Parking_Rate)</f>
        <v>505.13056396404295</v>
      </c>
    </row>
    <row r="8" spans="1:8">
      <c r="A8" s="7" t="s">
        <v>50</v>
      </c>
    </row>
    <row r="9" spans="1:8">
      <c r="B9" t="s">
        <v>14</v>
      </c>
      <c r="C9" s="2" t="s">
        <v>15</v>
      </c>
      <c r="D9" s="2" t="s">
        <v>16</v>
      </c>
      <c r="E9" s="2" t="s">
        <v>17</v>
      </c>
      <c r="F9" s="2" t="s">
        <v>18</v>
      </c>
      <c r="G9" s="2" t="s">
        <v>19</v>
      </c>
    </row>
    <row r="10" spans="1:8">
      <c r="B10" t="s">
        <v>20</v>
      </c>
      <c r="C10" s="9">
        <v>1</v>
      </c>
      <c r="D10" s="8">
        <f t="array" aca="1" ref="D10" ca="1">DEVSQ(TREND(Data!Income_1,Data!Parking_Rate_1))</f>
        <v>141861618.69695768</v>
      </c>
      <c r="E10" s="8">
        <f>D10/C10</f>
        <v>141861618.69695768</v>
      </c>
      <c r="F10" s="8">
        <f>E10/E11</f>
        <v>555.97801242652713</v>
      </c>
      <c r="G10" s="8">
        <f>FDIST(F10,C10,C11)</f>
        <v>4.5500675907271032E-23</v>
      </c>
    </row>
    <row r="11" spans="1:8">
      <c r="B11" t="s">
        <v>21</v>
      </c>
      <c r="C11" s="9">
        <f ca="1">COUNT(Data!Income)-2</f>
        <v>35</v>
      </c>
      <c r="D11" s="8">
        <f ca="1">DEVSQ(Data!Income)-D10</f>
        <v>8930491.0327720344</v>
      </c>
      <c r="E11" s="8">
        <f>D11/C11</f>
        <v>255156.88665062955</v>
      </c>
      <c r="F11" s="8"/>
      <c r="G11" s="8"/>
    </row>
    <row r="13" spans="1:8">
      <c r="A13" s="7" t="s">
        <v>22</v>
      </c>
    </row>
    <row r="14" spans="1:8">
      <c r="C14" s="2" t="s">
        <v>23</v>
      </c>
      <c r="D14" s="2" t="s">
        <v>24</v>
      </c>
      <c r="E14" s="2" t="s">
        <v>25</v>
      </c>
      <c r="F14" s="2" t="s">
        <v>19</v>
      </c>
      <c r="G14" s="2" t="s">
        <v>26</v>
      </c>
      <c r="H14" s="2" t="s">
        <v>27</v>
      </c>
    </row>
    <row r="15" spans="1:8">
      <c r="B15" t="s">
        <v>28</v>
      </c>
      <c r="C15" s="8">
        <f ca="1">INTERCEPT(Data!Income,Data!Parking_Rate)</f>
        <v>2046.8726955171742</v>
      </c>
      <c r="D15" s="8">
        <f ca="1">C6*SQRT(1/COUNT(Data!Parking_Rate)+AVERAGE(Data!Parking_Rate)^2/DEVSQ(Data!Parking_Rate))</f>
        <v>202.21390462712316</v>
      </c>
      <c r="E15" s="8">
        <f>C15/D15</f>
        <v>10.122314285417469</v>
      </c>
      <c r="F15" s="8">
        <f>TDIST(ABS(E15),C11,2)</f>
        <v>6.1620410892183252E-12</v>
      </c>
      <c r="G15" s="8">
        <f>C15-TINV(0.05,C11)*D15</f>
        <v>1636.3566471199415</v>
      </c>
      <c r="H15" s="8">
        <f>C15+TINV(0.05,C11)*D15</f>
        <v>2457.3887439144069</v>
      </c>
    </row>
    <row r="16" spans="1:8">
      <c r="B16" t="s">
        <v>6</v>
      </c>
      <c r="C16" s="8">
        <f ca="1">SLOPE(Data!Income,Data!Parking_Rate)</f>
        <v>3191.561711624297</v>
      </c>
      <c r="D16" s="8">
        <f ca="1">C6/SQRT(DEVSQ(Data!Parking_Rate))</f>
        <v>135.35504201090873</v>
      </c>
      <c r="E16" s="8">
        <f>C16/D16</f>
        <v>23.579186000083233</v>
      </c>
      <c r="F16" s="8">
        <f>TDIST(ABS(E16),C11,2)</f>
        <v>4.5500675907279461E-23</v>
      </c>
      <c r="G16" s="8">
        <f>C16-TINV(0.05,C11)*D16</f>
        <v>2916.7763694421124</v>
      </c>
      <c r="H16" s="8">
        <f>C16+TINV(0.05,C11)*D16</f>
        <v>3466.3470538064817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/>
  </sheetViews>
  <sheetFormatPr defaultRowHeight="12.75"/>
  <cols>
    <col min="1" max="1" width="5.7109375" customWidth="1"/>
    <col min="2" max="2" width="12.140625" bestFit="1" customWidth="1"/>
    <col min="3" max="8" width="10.7109375" customWidth="1"/>
  </cols>
  <sheetData>
    <row r="1" spans="1:8">
      <c r="A1" s="7" t="s">
        <v>51</v>
      </c>
    </row>
    <row r="3" spans="1:8">
      <c r="A3" s="7" t="s">
        <v>8</v>
      </c>
    </row>
    <row r="4" spans="1:8">
      <c r="B4" t="s">
        <v>9</v>
      </c>
      <c r="C4" s="8">
        <f ca="1">ABS(CORREL(Data!Price_per_Ride,Data!Parking_Rate))</f>
        <v>0.95793817502487721</v>
      </c>
    </row>
    <row r="5" spans="1:8">
      <c r="B5" t="s">
        <v>10</v>
      </c>
      <c r="C5" s="8">
        <f ca="1">RSQ(Data!Price_per_Ride,Data!Parking_Rate)</f>
        <v>0.91764554716999225</v>
      </c>
    </row>
    <row r="6" spans="1:8">
      <c r="B6" t="s">
        <v>12</v>
      </c>
      <c r="C6" s="8">
        <f ca="1">STEYX(Data!Price_per_Ride,Data!Parking_Rate)</f>
        <v>0.10718194443793051</v>
      </c>
    </row>
    <row r="8" spans="1:8">
      <c r="A8" s="7" t="s">
        <v>50</v>
      </c>
    </row>
    <row r="9" spans="1:8">
      <c r="B9" t="s">
        <v>14</v>
      </c>
      <c r="C9" s="2" t="s">
        <v>15</v>
      </c>
      <c r="D9" s="2" t="s">
        <v>16</v>
      </c>
      <c r="E9" s="2" t="s">
        <v>17</v>
      </c>
      <c r="F9" s="2" t="s">
        <v>18</v>
      </c>
      <c r="G9" s="2" t="s">
        <v>19</v>
      </c>
    </row>
    <row r="10" spans="1:8">
      <c r="B10" t="s">
        <v>20</v>
      </c>
      <c r="C10" s="9">
        <v>1</v>
      </c>
      <c r="D10" s="8">
        <f t="array" aca="1" ref="D10" ca="1">DEVSQ(TREND(Data!Price_per_Ride_1,Data!Parking_Rate_1))</f>
        <v>4.4802183748249522</v>
      </c>
      <c r="E10" s="8">
        <f>D10/C10</f>
        <v>4.4802183748249522</v>
      </c>
      <c r="F10" s="8">
        <f>E10/E11</f>
        <v>389.99219893118828</v>
      </c>
      <c r="G10" s="8">
        <f>FDIST(F10,C10,C11)</f>
        <v>1.4755142586233931E-20</v>
      </c>
    </row>
    <row r="11" spans="1:8">
      <c r="B11" t="s">
        <v>21</v>
      </c>
      <c r="C11" s="9">
        <f ca="1">COUNT(Data!Price_per_Ride)-2</f>
        <v>35</v>
      </c>
      <c r="D11" s="8">
        <f ca="1">DEVSQ(Data!Price_per_Ride)-D10</f>
        <v>0.40207892247234689</v>
      </c>
      <c r="E11" s="8">
        <f>D11/C11</f>
        <v>1.1487969213495625E-2</v>
      </c>
      <c r="F11" s="8"/>
      <c r="G11" s="8"/>
    </row>
    <row r="13" spans="1:8">
      <c r="A13" s="7" t="s">
        <v>22</v>
      </c>
    </row>
    <row r="14" spans="1:8">
      <c r="C14" s="2" t="s">
        <v>23</v>
      </c>
      <c r="D14" s="2" t="s">
        <v>24</v>
      </c>
      <c r="E14" s="2" t="s">
        <v>25</v>
      </c>
      <c r="F14" s="2" t="s">
        <v>19</v>
      </c>
      <c r="G14" s="2" t="s">
        <v>26</v>
      </c>
      <c r="H14" s="2" t="s">
        <v>27</v>
      </c>
    </row>
    <row r="15" spans="1:8">
      <c r="B15" t="s">
        <v>28</v>
      </c>
      <c r="C15" s="8">
        <f ca="1">INTERCEPT(Data!Price_per_Ride,Data!Parking_Rate)</f>
        <v>-9.2860469629342246E-2</v>
      </c>
      <c r="D15" s="8">
        <f ca="1">C6*SQRT(1/COUNT(Data!Parking_Rate)+AVERAGE(Data!Parking_Rate)^2/DEVSQ(Data!Parking_Rate))</f>
        <v>4.290708390368575E-2</v>
      </c>
      <c r="E15" s="8">
        <f>C15/D15</f>
        <v>-2.1642223423476574</v>
      </c>
      <c r="F15" s="8">
        <f>TDIST(ABS(E15),C11,2)</f>
        <v>3.735419967207821E-2</v>
      </c>
      <c r="G15" s="8">
        <f>C15-TINV(0.05,C11)*D15</f>
        <v>-0.17996648029101953</v>
      </c>
      <c r="H15" s="8">
        <f>C15+TINV(0.05,C11)*D15</f>
        <v>-5.7544589676649521E-3</v>
      </c>
    </row>
    <row r="16" spans="1:8">
      <c r="B16" t="s">
        <v>6</v>
      </c>
      <c r="C16" s="8">
        <f ca="1">SLOPE(Data!Price_per_Ride,Data!Parking_Rate)</f>
        <v>0.5671793130215409</v>
      </c>
      <c r="D16" s="8">
        <f ca="1">C6/SQRT(DEVSQ(Data!Parking_Rate))</f>
        <v>2.8720528170692271E-2</v>
      </c>
      <c r="E16" s="8">
        <f>C16/D16</f>
        <v>19.748220145906522</v>
      </c>
      <c r="F16" s="8">
        <f>TDIST(ABS(E16),C11,2)</f>
        <v>1.4755142586233931E-20</v>
      </c>
      <c r="G16" s="8">
        <f>C16-TINV(0.05,C11)*D16</f>
        <v>0.50887354144636232</v>
      </c>
      <c r="H16" s="8">
        <f>C16+TINV(0.05,C11)*D16</f>
        <v>0.62548508459671948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1"/>
  <sheetViews>
    <sheetView workbookViewId="0"/>
  </sheetViews>
  <sheetFormatPr defaultRowHeight="12.75"/>
  <cols>
    <col min="1" max="1" width="5.7109375" customWidth="1"/>
    <col min="2" max="2" width="12.140625" bestFit="1" customWidth="1"/>
    <col min="3" max="3" width="11.140625" bestFit="1" customWidth="1"/>
    <col min="4" max="4" width="11.5703125" bestFit="1" customWidth="1"/>
    <col min="5" max="6" width="10.7109375" customWidth="1"/>
    <col min="7" max="7" width="11.140625" bestFit="1" customWidth="1"/>
    <col min="8" max="8" width="10.7109375" customWidth="1"/>
  </cols>
  <sheetData>
    <row r="1" spans="1:8">
      <c r="A1" s="7" t="s">
        <v>7</v>
      </c>
    </row>
    <row r="3" spans="1:8">
      <c r="A3" s="7" t="s">
        <v>8</v>
      </c>
    </row>
    <row r="4" spans="1:8">
      <c r="B4" t="s">
        <v>9</v>
      </c>
      <c r="C4" s="8">
        <v>0.95489275484922898</v>
      </c>
    </row>
    <row r="5" spans="1:8">
      <c r="B5" t="s">
        <v>10</v>
      </c>
      <c r="C5" s="8">
        <v>0.9118201732635498</v>
      </c>
    </row>
    <row r="6" spans="1:8">
      <c r="B6" t="s">
        <v>11</v>
      </c>
      <c r="C6" s="8">
        <v>0.89759761095046997</v>
      </c>
    </row>
    <row r="7" spans="1:8">
      <c r="B7" t="s">
        <v>12</v>
      </c>
      <c r="C7" s="8">
        <v>27.060331344604492</v>
      </c>
    </row>
    <row r="9" spans="1:8">
      <c r="A9" s="7" t="s">
        <v>13</v>
      </c>
    </row>
    <row r="10" spans="1:8">
      <c r="B10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</row>
    <row r="11" spans="1:8">
      <c r="B11" t="s">
        <v>20</v>
      </c>
      <c r="C11" s="9">
        <v>5</v>
      </c>
      <c r="D11" s="8">
        <v>234729.56825380068</v>
      </c>
      <c r="E11" s="8">
        <v>46945.913650760136</v>
      </c>
      <c r="F11" s="8">
        <v>64.110856223135727</v>
      </c>
      <c r="G11" s="8">
        <v>2.0378159172289135E-15</v>
      </c>
    </row>
    <row r="12" spans="1:8">
      <c r="B12" t="s">
        <v>21</v>
      </c>
      <c r="C12" s="9">
        <v>31</v>
      </c>
      <c r="D12" s="8">
        <v>22700.107421875</v>
      </c>
      <c r="E12" s="8">
        <v>732.26152973790317</v>
      </c>
      <c r="F12" s="8"/>
      <c r="G12" s="8"/>
    </row>
    <row r="14" spans="1:8">
      <c r="A14" s="7" t="s">
        <v>22</v>
      </c>
    </row>
    <row r="15" spans="1:8">
      <c r="C15" s="2" t="s">
        <v>23</v>
      </c>
      <c r="D15" s="2" t="s">
        <v>24</v>
      </c>
      <c r="E15" s="2" t="s">
        <v>25</v>
      </c>
      <c r="F15" s="2" t="s">
        <v>19</v>
      </c>
      <c r="G15" s="2" t="s">
        <v>26</v>
      </c>
      <c r="H15" s="2" t="s">
        <v>27</v>
      </c>
    </row>
    <row r="16" spans="1:8">
      <c r="B16" t="s">
        <v>28</v>
      </c>
      <c r="C16" s="8">
        <v>-16546.76171875</v>
      </c>
      <c r="D16" s="8">
        <v>8216.333984375</v>
      </c>
      <c r="E16" s="8">
        <v>-2.0138862133026123</v>
      </c>
      <c r="F16" s="8">
        <v>5.2770502865314484E-2</v>
      </c>
      <c r="G16" s="8">
        <f>C16-TINV(0.05,C12)*D16</f>
        <v>-33304.08529460647</v>
      </c>
      <c r="H16" s="8">
        <f>C16+TINV(0.05,C12)*D16</f>
        <v>210.56185710647333</v>
      </c>
    </row>
    <row r="17" spans="2:8">
      <c r="B17" t="s">
        <v>4</v>
      </c>
      <c r="C17" s="8">
        <v>18.667974472045898</v>
      </c>
      <c r="D17" s="8">
        <v>9.2836475372314453</v>
      </c>
      <c r="E17" s="8">
        <v>2.0108447074890137</v>
      </c>
      <c r="F17" s="8">
        <v>5.3108084946870804E-2</v>
      </c>
      <c r="G17" s="8">
        <f>C17-TINV(0.05,C12)*D17</f>
        <v>-0.26614943789204659</v>
      </c>
      <c r="H17" s="8">
        <f>C17+TINV(0.05,C12)*D17</f>
        <v>37.602098381983843</v>
      </c>
    </row>
    <row r="18" spans="2:8">
      <c r="B18" t="s">
        <v>6</v>
      </c>
      <c r="C18" s="8">
        <v>1650.0281982421875</v>
      </c>
      <c r="D18" s="8">
        <v>778.110595703125</v>
      </c>
      <c r="E18" s="8">
        <v>2.1205573081970215</v>
      </c>
      <c r="F18" s="8">
        <v>4.2062804102897644E-2</v>
      </c>
      <c r="G18" s="8">
        <f>C18-TINV(0.05,C12)*D18</f>
        <v>63.061181711936797</v>
      </c>
      <c r="H18" s="8">
        <f>C18+TINV(0.05,C12)*D18</f>
        <v>3236.995214772438</v>
      </c>
    </row>
    <row r="19" spans="2:8">
      <c r="B19" t="s">
        <v>33</v>
      </c>
      <c r="C19" s="8">
        <v>4.7706279754638672</v>
      </c>
      <c r="D19" s="8">
        <v>70.012466430664063</v>
      </c>
      <c r="E19" s="8">
        <v>6.8139694631099701E-2</v>
      </c>
      <c r="F19" s="8">
        <v>0.94611203670501709</v>
      </c>
      <c r="G19" s="8">
        <f>C19-TINV(0.05,C12)*D19</f>
        <v>-138.02073816831046</v>
      </c>
      <c r="H19" s="8">
        <f>C19+TINV(0.05,C12)*D19</f>
        <v>147.56199411923819</v>
      </c>
    </row>
    <row r="20" spans="2:8">
      <c r="B20" t="s">
        <v>39</v>
      </c>
      <c r="C20" s="8">
        <v>-4.8737954348325729E-3</v>
      </c>
      <c r="D20" s="8">
        <v>2.6323813945055008E-3</v>
      </c>
      <c r="E20" s="8">
        <v>-1.8514777421951294</v>
      </c>
      <c r="F20" s="8">
        <v>7.3647640645503998E-2</v>
      </c>
      <c r="G20" s="8">
        <f>C20-TINV(0.05,C12)*D20</f>
        <v>-1.0242572664029941E-2</v>
      </c>
      <c r="H20" s="8">
        <f>C20+TINV(0.05,C12)*D20</f>
        <v>4.949817943647938E-4</v>
      </c>
    </row>
    <row r="21" spans="2:8">
      <c r="B21" t="s">
        <v>43</v>
      </c>
      <c r="C21" s="8">
        <v>-1.0078188180923462</v>
      </c>
      <c r="D21" s="8">
        <v>0.39799511432647705</v>
      </c>
      <c r="E21" s="8">
        <v>-2.5322391986846924</v>
      </c>
      <c r="F21" s="8">
        <v>1.6615260392427444E-2</v>
      </c>
      <c r="G21" s="8">
        <f>C21-TINV(0.05,C12)*D21</f>
        <v>-1.8195352021952607</v>
      </c>
      <c r="H21" s="8">
        <f>C21+TINV(0.05,C12)*D21</f>
        <v>-0.19610243398943172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A39" sqref="A39"/>
    </sheetView>
  </sheetViews>
  <sheetFormatPr defaultRowHeight="12.75"/>
  <cols>
    <col min="1" max="1" width="5.7109375" customWidth="1"/>
    <col min="2" max="2" width="12" bestFit="1" customWidth="1"/>
    <col min="3" max="3" width="10.7109375" customWidth="1"/>
    <col min="4" max="5" width="11.5703125" bestFit="1" customWidth="1"/>
    <col min="6" max="8" width="10.7109375" customWidth="1"/>
  </cols>
  <sheetData>
    <row r="1" spans="1:7">
      <c r="A1" s="7" t="s">
        <v>34</v>
      </c>
    </row>
    <row r="3" spans="1:7">
      <c r="A3" s="7" t="s">
        <v>46</v>
      </c>
    </row>
    <row r="5" spans="1:7">
      <c r="A5" s="7" t="s">
        <v>8</v>
      </c>
    </row>
    <row r="6" spans="1:7">
      <c r="B6" t="s">
        <v>9</v>
      </c>
      <c r="C6" s="8">
        <v>0.93429009552566222</v>
      </c>
    </row>
    <row r="7" spans="1:7">
      <c r="B7" t="s">
        <v>10</v>
      </c>
      <c r="C7" s="8">
        <v>0.87289798259735107</v>
      </c>
    </row>
    <row r="8" spans="1:7">
      <c r="B8" t="s">
        <v>11</v>
      </c>
      <c r="C8" s="8">
        <v>0.86926651000976563</v>
      </c>
    </row>
    <row r="9" spans="1:7">
      <c r="B9" t="s">
        <v>12</v>
      </c>
      <c r="C9" s="8">
        <v>30.575355529785156</v>
      </c>
    </row>
    <row r="11" spans="1:7">
      <c r="A11" s="7" t="s">
        <v>13</v>
      </c>
    </row>
    <row r="12" spans="1:7">
      <c r="B1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</row>
    <row r="13" spans="1:7">
      <c r="B13" t="s">
        <v>20</v>
      </c>
      <c r="C13" s="9">
        <v>1</v>
      </c>
      <c r="D13" s="8">
        <v>224709.84169130068</v>
      </c>
      <c r="E13" s="8">
        <v>224709.84169130068</v>
      </c>
      <c r="F13" s="8">
        <v>240.36932653604828</v>
      </c>
      <c r="G13" s="8">
        <v>3.0012173329638934E-17</v>
      </c>
    </row>
    <row r="14" spans="1:7">
      <c r="B14" t="s">
        <v>21</v>
      </c>
      <c r="C14" s="9">
        <v>35</v>
      </c>
      <c r="D14" s="8">
        <v>32719.833984375</v>
      </c>
      <c r="E14" s="8">
        <v>934.85239955357144</v>
      </c>
      <c r="F14" s="8"/>
      <c r="G14" s="8"/>
    </row>
    <row r="16" spans="1:7">
      <c r="A16" s="7" t="s">
        <v>22</v>
      </c>
    </row>
    <row r="17" spans="1:8">
      <c r="C17" s="2" t="s">
        <v>23</v>
      </c>
      <c r="D17" s="2" t="s">
        <v>24</v>
      </c>
      <c r="E17" s="2" t="s">
        <v>25</v>
      </c>
      <c r="F17" s="2" t="s">
        <v>19</v>
      </c>
      <c r="G17" s="2" t="s">
        <v>26</v>
      </c>
      <c r="H17" s="2" t="s">
        <v>27</v>
      </c>
    </row>
    <row r="18" spans="1:8">
      <c r="B18" t="s">
        <v>28</v>
      </c>
      <c r="C18" s="8">
        <v>-82.830558776855469</v>
      </c>
      <c r="D18" s="8">
        <v>70.871871948242188</v>
      </c>
      <c r="E18" s="8">
        <v>-1.1687366962432861</v>
      </c>
      <c r="F18" s="8">
        <v>0.25040867924690247</v>
      </c>
      <c r="G18" s="8">
        <f>C18-TINV(0.05,C14)*D18</f>
        <v>-226.7081070016211</v>
      </c>
      <c r="H18" s="8">
        <f>C18+TINV(0.05,C14)*D18</f>
        <v>61.046989447910164</v>
      </c>
    </row>
    <row r="19" spans="1:8">
      <c r="B19" t="s">
        <v>39</v>
      </c>
      <c r="C19" s="8">
        <v>3.9025154546834528E-4</v>
      </c>
      <c r="D19" s="8">
        <v>2.5171269953716546E-5</v>
      </c>
      <c r="E19" s="8">
        <v>15.503848075866699</v>
      </c>
      <c r="F19" s="8">
        <v>3.0012213662179729E-17</v>
      </c>
      <c r="G19" s="8">
        <f>C19-TINV(0.05,C14)*D19</f>
        <v>3.3915115109341907E-4</v>
      </c>
      <c r="H19" s="8">
        <f>C19+TINV(0.05,C14)*D19</f>
        <v>4.413519398432715E-4</v>
      </c>
    </row>
    <row r="21" spans="1:8">
      <c r="A21" s="7" t="s">
        <v>52</v>
      </c>
    </row>
    <row r="23" spans="1:8">
      <c r="A23" s="7" t="s">
        <v>8</v>
      </c>
      <c r="D23" s="2" t="s">
        <v>35</v>
      </c>
      <c r="E23" s="2" t="s">
        <v>36</v>
      </c>
    </row>
    <row r="24" spans="1:8">
      <c r="B24" t="s">
        <v>9</v>
      </c>
      <c r="C24" s="8">
        <v>0.94265085470134224</v>
      </c>
      <c r="D24" s="8">
        <v>8.3607591756800718E-3</v>
      </c>
      <c r="E24" s="11">
        <v>8.9487828413465469E-3</v>
      </c>
    </row>
    <row r="25" spans="1:8">
      <c r="B25" t="s">
        <v>10</v>
      </c>
      <c r="C25" s="8">
        <v>0.88859063386917114</v>
      </c>
      <c r="D25" s="8">
        <v>1.5692651271820068E-2</v>
      </c>
      <c r="E25" s="11">
        <v>1.7977645620703697E-2</v>
      </c>
    </row>
    <row r="26" spans="1:8">
      <c r="B26" t="s">
        <v>11</v>
      </c>
      <c r="C26" s="8">
        <v>0.88203716278076172</v>
      </c>
      <c r="D26" s="8">
        <v>1.2770652770996094E-2</v>
      </c>
      <c r="E26" s="11">
        <v>1.4691296964883804E-2</v>
      </c>
    </row>
    <row r="27" spans="1:8">
      <c r="B27" t="s">
        <v>12</v>
      </c>
      <c r="C27" s="8">
        <v>29.043619155883789</v>
      </c>
      <c r="D27" s="8">
        <v>-1.5317363739013672</v>
      </c>
      <c r="E27" s="11">
        <v>-5.0097092986106873E-2</v>
      </c>
    </row>
    <row r="29" spans="1:8">
      <c r="A29" s="7" t="s">
        <v>13</v>
      </c>
    </row>
    <row r="30" spans="1:8">
      <c r="B30" t="s">
        <v>14</v>
      </c>
      <c r="C30" s="2" t="s">
        <v>15</v>
      </c>
      <c r="D30" s="2" t="s">
        <v>16</v>
      </c>
      <c r="E30" s="2" t="s">
        <v>17</v>
      </c>
      <c r="F30" s="2" t="s">
        <v>18</v>
      </c>
      <c r="G30" s="2" t="s">
        <v>19</v>
      </c>
    </row>
    <row r="31" spans="1:8">
      <c r="B31" t="s">
        <v>20</v>
      </c>
      <c r="C31" s="9">
        <v>2</v>
      </c>
      <c r="D31" s="8">
        <v>228749.59559755068</v>
      </c>
      <c r="E31" s="8">
        <v>114374.79779877534</v>
      </c>
      <c r="F31" s="8">
        <v>135.59038589032397</v>
      </c>
      <c r="G31" s="8">
        <v>6.2758094811604343E-17</v>
      </c>
    </row>
    <row r="32" spans="1:8">
      <c r="B32" t="s">
        <v>21</v>
      </c>
      <c r="C32" s="9">
        <v>34</v>
      </c>
      <c r="D32" s="8">
        <v>28680.080078125</v>
      </c>
      <c r="E32" s="8">
        <v>843.53176700367646</v>
      </c>
      <c r="F32" s="8"/>
      <c r="G32" s="8"/>
    </row>
    <row r="34" spans="1:8">
      <c r="A34" s="7" t="s">
        <v>22</v>
      </c>
    </row>
    <row r="35" spans="1:8">
      <c r="C35" s="2" t="s">
        <v>23</v>
      </c>
      <c r="D35" s="2" t="s">
        <v>24</v>
      </c>
      <c r="E35" s="2" t="s">
        <v>25</v>
      </c>
      <c r="F35" s="2" t="s">
        <v>19</v>
      </c>
      <c r="G35" s="2" t="s">
        <v>26</v>
      </c>
      <c r="H35" s="2" t="s">
        <v>27</v>
      </c>
    </row>
    <row r="36" spans="1:8">
      <c r="B36" t="s">
        <v>28</v>
      </c>
      <c r="C36" s="8">
        <v>59.647792816162109</v>
      </c>
      <c r="D36" s="8">
        <v>93.653533935546875</v>
      </c>
      <c r="E36" s="8">
        <v>0.6368984580039978</v>
      </c>
      <c r="F36" s="8">
        <v>0.52845633029937744</v>
      </c>
      <c r="G36" s="8">
        <f>C36-TINV(0.05,C32)*D36</f>
        <v>-130.67908622758662</v>
      </c>
      <c r="H36" s="8">
        <f>C36+TINV(0.05,C32)*D36</f>
        <v>249.97467185991084</v>
      </c>
    </row>
    <row r="37" spans="1:8">
      <c r="B37" t="s">
        <v>39</v>
      </c>
      <c r="C37" s="8">
        <v>3.5019568167626858E-4</v>
      </c>
      <c r="D37" s="8">
        <v>3.011191074620001E-5</v>
      </c>
      <c r="E37" s="8">
        <v>11.629806518554688</v>
      </c>
      <c r="F37" s="8">
        <v>2.1319037301573834E-13</v>
      </c>
      <c r="G37" s="8">
        <f>C37-TINV(0.05,C32)*D37</f>
        <v>2.8900091674286671E-4</v>
      </c>
      <c r="H37" s="8">
        <f>C37+TINV(0.05,C32)*D37</f>
        <v>4.1139044660967045E-4</v>
      </c>
    </row>
    <row r="38" spans="1:8">
      <c r="B38" t="s">
        <v>43</v>
      </c>
      <c r="C38" s="8">
        <v>-1.3278286904096603E-2</v>
      </c>
      <c r="D38" s="8">
        <v>6.0675777494907379E-3</v>
      </c>
      <c r="E38" s="8">
        <v>-2.1884000301361084</v>
      </c>
      <c r="F38" s="8">
        <v>3.5607613623142242E-2</v>
      </c>
      <c r="G38" s="8">
        <f>C38-TINV(0.05,C32)*D38</f>
        <v>-2.5609088400713097E-2</v>
      </c>
      <c r="H38" s="8">
        <f>C38+TINV(0.05,C32)*D38</f>
        <v>-9.4748540748011006E-4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"/>
  <sheetViews>
    <sheetView workbookViewId="0"/>
  </sheetViews>
  <sheetFormatPr defaultRowHeight="12.75"/>
  <cols>
    <col min="1" max="1" width="5.7109375" customWidth="1"/>
    <col min="2" max="2" width="16.28515625" bestFit="1" customWidth="1"/>
    <col min="3" max="4" width="13.7109375" bestFit="1" customWidth="1"/>
    <col min="5" max="6" width="10.7109375" customWidth="1"/>
    <col min="7" max="7" width="12.140625" bestFit="1" customWidth="1"/>
  </cols>
  <sheetData>
    <row r="1" spans="1:7">
      <c r="A1" s="7" t="s">
        <v>57</v>
      </c>
    </row>
    <row r="2" spans="1:7"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B3" t="s">
        <v>58</v>
      </c>
      <c r="C3" s="10">
        <f ca="1">AVERAGE(Data!Weekly_Riders)</f>
        <v>1013.1891891891892</v>
      </c>
      <c r="D3" s="10">
        <f ca="1">AVERAGE(Data!Price_per_Ride)</f>
        <v>0.67972972972972967</v>
      </c>
      <c r="E3" s="10">
        <f ca="1">AVERAGE(Data!Population)</f>
        <v>1674.8108108108108</v>
      </c>
      <c r="F3" s="10">
        <f ca="1">AVERAGE(Data!Income)</f>
        <v>6394.2972972972975</v>
      </c>
      <c r="G3" s="10">
        <f ca="1">AVERAGE(Data!Parking_Rate)</f>
        <v>1.3621621621621622</v>
      </c>
    </row>
    <row r="4" spans="1:7">
      <c r="B4" t="s">
        <v>59</v>
      </c>
      <c r="C4" s="10">
        <f ca="1">MEDIAN(Data!Weekly_Riders)</f>
        <v>982</v>
      </c>
      <c r="D4" s="10">
        <f ca="1">MEDIAN(Data!Price_per_Ride)</f>
        <v>0.75</v>
      </c>
      <c r="E4" s="10">
        <f ca="1">MEDIAN(Data!Population)</f>
        <v>1680</v>
      </c>
      <c r="F4" s="10">
        <f ca="1">MEDIAN(Data!Income)</f>
        <v>6612</v>
      </c>
      <c r="G4" s="10">
        <f ca="1">MEDIAN(Data!Parking_Rate)</f>
        <v>1.25</v>
      </c>
    </row>
    <row r="5" spans="1:7">
      <c r="B5" t="s">
        <v>60</v>
      </c>
      <c r="C5" s="10">
        <f ca="1">STDEV(Data!Weekly_Riders)</f>
        <v>84.562546817869162</v>
      </c>
      <c r="D5" s="10">
        <f ca="1">STDEV(Data!Price_per_Ride)</f>
        <v>0.36826535184479331</v>
      </c>
      <c r="E5" s="10">
        <f ca="1">STDEV(Data!Population)</f>
        <v>60.013349365804366</v>
      </c>
      <c r="F5" s="10">
        <f ca="1">STDEV(Data!Income)</f>
        <v>2046.6239798054532</v>
      </c>
      <c r="G5" s="10">
        <f ca="1">STDEV(Data!Parking_Rate)</f>
        <v>0.62198220381443536</v>
      </c>
    </row>
    <row r="6" spans="1:7">
      <c r="B6" t="s">
        <v>61</v>
      </c>
      <c r="C6" s="10">
        <f ca="1">MIN(Data!Weekly_Riders)</f>
        <v>884</v>
      </c>
      <c r="D6" s="10">
        <f ca="1">MIN(Data!Price_per_Ride)</f>
        <v>0.15</v>
      </c>
      <c r="E6" s="10">
        <f ca="1">MIN(Data!Population)</f>
        <v>1590</v>
      </c>
      <c r="F6" s="10">
        <f ca="1">MIN(Data!Income)</f>
        <v>2900</v>
      </c>
      <c r="G6" s="10">
        <f ca="1">MIN(Data!Parking_Rate)</f>
        <v>0.5</v>
      </c>
    </row>
    <row r="7" spans="1:7">
      <c r="B7" t="s">
        <v>62</v>
      </c>
      <c r="C7" s="10">
        <f ca="1">MAX(Data!Weekly_Riders)</f>
        <v>1190</v>
      </c>
      <c r="D7" s="10">
        <f ca="1">MAX(Data!Price_per_Ride)</f>
        <v>1.25</v>
      </c>
      <c r="E7" s="10">
        <f ca="1">MAX(Data!Population)</f>
        <v>1800</v>
      </c>
      <c r="F7" s="10">
        <f ca="1">MAX(Data!Income)</f>
        <v>8945</v>
      </c>
      <c r="G7" s="10">
        <f ca="1">MAX(Data!Parking_Rate)</f>
        <v>2.25</v>
      </c>
    </row>
  </sheetData>
  <phoneticPr fontId="3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1" sqref="E1:E38"/>
    </sheetView>
  </sheetViews>
  <sheetFormatPr defaultRowHeight="12.75"/>
  <sheetData>
    <row r="1" spans="1:7">
      <c r="A1">
        <v>1190</v>
      </c>
      <c r="B1">
        <v>1</v>
      </c>
      <c r="C1">
        <v>0.15</v>
      </c>
      <c r="D1">
        <v>0.5</v>
      </c>
      <c r="E1">
        <v>7.4999999999999997E-2</v>
      </c>
      <c r="F1">
        <v>1172.7084013661101</v>
      </c>
      <c r="G1">
        <v>17.291598633889862</v>
      </c>
    </row>
    <row r="2" spans="1:7">
      <c r="A2">
        <v>1135</v>
      </c>
      <c r="B2">
        <v>1</v>
      </c>
      <c r="C2">
        <v>0.15</v>
      </c>
      <c r="D2">
        <v>0.5</v>
      </c>
      <c r="E2">
        <v>7.4999999999999997E-2</v>
      </c>
      <c r="F2">
        <v>1172.7084013661101</v>
      </c>
      <c r="G2">
        <v>-37.708401366110138</v>
      </c>
    </row>
    <row r="3" spans="1:7">
      <c r="A3">
        <v>1161</v>
      </c>
      <c r="B3">
        <v>1</v>
      </c>
      <c r="C3">
        <v>0.15</v>
      </c>
      <c r="D3">
        <v>0.6</v>
      </c>
      <c r="E3">
        <v>0.09</v>
      </c>
      <c r="F3">
        <v>1162.2473506351184</v>
      </c>
      <c r="G3">
        <v>-1.2473506351184369</v>
      </c>
    </row>
    <row r="4" spans="1:7">
      <c r="A4">
        <v>1165</v>
      </c>
      <c r="B4">
        <v>1</v>
      </c>
      <c r="C4">
        <v>0.25</v>
      </c>
      <c r="D4">
        <v>0.6</v>
      </c>
      <c r="E4">
        <v>0.15</v>
      </c>
      <c r="F4">
        <v>1118.3985481175994</v>
      </c>
      <c r="G4">
        <v>46.601451882400625</v>
      </c>
    </row>
    <row r="5" spans="1:7">
      <c r="A5">
        <v>1171</v>
      </c>
      <c r="B5">
        <v>1</v>
      </c>
      <c r="C5">
        <v>0.25</v>
      </c>
      <c r="D5">
        <v>0.6</v>
      </c>
      <c r="E5">
        <v>0.15</v>
      </c>
      <c r="F5">
        <v>1118.3985481175994</v>
      </c>
      <c r="G5">
        <v>52.601451882400625</v>
      </c>
    </row>
    <row r="6" spans="1:7">
      <c r="A6">
        <v>1136</v>
      </c>
      <c r="B6">
        <v>1</v>
      </c>
      <c r="C6">
        <v>0.25</v>
      </c>
      <c r="D6">
        <v>0.7</v>
      </c>
      <c r="E6">
        <v>0.17499999999999999</v>
      </c>
      <c r="F6">
        <v>1110.5775541467933</v>
      </c>
      <c r="G6">
        <v>25.422445853206682</v>
      </c>
    </row>
    <row r="7" spans="1:7">
      <c r="A7">
        <v>1079</v>
      </c>
      <c r="B7">
        <v>1</v>
      </c>
      <c r="C7">
        <v>0.25</v>
      </c>
      <c r="D7">
        <v>0.75</v>
      </c>
      <c r="E7">
        <v>0.1875</v>
      </c>
      <c r="F7">
        <v>1106.6670571613904</v>
      </c>
      <c r="G7">
        <v>-27.667057161390403</v>
      </c>
    </row>
    <row r="8" spans="1:7">
      <c r="A8">
        <v>1051</v>
      </c>
      <c r="B8">
        <v>1</v>
      </c>
      <c r="C8">
        <v>0.3</v>
      </c>
      <c r="D8">
        <v>0.75</v>
      </c>
      <c r="E8">
        <v>0.22500000000000001</v>
      </c>
      <c r="F8">
        <v>1086.7226984727702</v>
      </c>
      <c r="G8">
        <v>-35.722698472770162</v>
      </c>
    </row>
    <row r="9" spans="1:7">
      <c r="A9">
        <v>1079</v>
      </c>
      <c r="B9">
        <v>1</v>
      </c>
      <c r="C9">
        <v>0.3</v>
      </c>
      <c r="D9">
        <v>0.75</v>
      </c>
      <c r="E9">
        <v>0.22500000000000001</v>
      </c>
      <c r="F9">
        <v>1086.7226984727702</v>
      </c>
      <c r="G9">
        <v>-7.722698472770162</v>
      </c>
    </row>
    <row r="10" spans="1:7">
      <c r="A10">
        <v>1086</v>
      </c>
      <c r="B10">
        <v>1</v>
      </c>
      <c r="C10">
        <v>0.3</v>
      </c>
      <c r="D10">
        <v>0.8</v>
      </c>
      <c r="E10">
        <v>0.24</v>
      </c>
      <c r="F10">
        <v>1083.4722156774135</v>
      </c>
      <c r="G10">
        <v>2.5277843225865126</v>
      </c>
    </row>
    <row r="11" spans="1:7">
      <c r="A11">
        <v>1074</v>
      </c>
      <c r="B11">
        <v>1</v>
      </c>
      <c r="C11">
        <v>0.3</v>
      </c>
      <c r="D11">
        <v>0.8</v>
      </c>
      <c r="E11">
        <v>0.24</v>
      </c>
      <c r="F11">
        <v>1083.4722156774135</v>
      </c>
      <c r="G11">
        <v>-9.4722156774134874</v>
      </c>
    </row>
    <row r="12" spans="1:7">
      <c r="A12">
        <v>1056</v>
      </c>
      <c r="B12">
        <v>1</v>
      </c>
      <c r="C12">
        <v>0.4</v>
      </c>
      <c r="D12">
        <v>0.8</v>
      </c>
      <c r="E12">
        <v>0.32</v>
      </c>
      <c r="F12">
        <v>1044.9035266802662</v>
      </c>
      <c r="G12">
        <v>11.096473319733832</v>
      </c>
    </row>
    <row r="13" spans="1:7">
      <c r="A13">
        <v>1052</v>
      </c>
      <c r="B13">
        <v>1</v>
      </c>
      <c r="C13">
        <v>0.4</v>
      </c>
      <c r="D13">
        <v>0.85</v>
      </c>
      <c r="E13">
        <v>0.34</v>
      </c>
      <c r="F13">
        <v>1042.9730722650024</v>
      </c>
      <c r="G13">
        <v>9.026927734997571</v>
      </c>
    </row>
    <row r="14" spans="1:7">
      <c r="A14">
        <v>1023</v>
      </c>
      <c r="B14">
        <v>1</v>
      </c>
      <c r="C14">
        <v>0.4</v>
      </c>
      <c r="D14">
        <v>1</v>
      </c>
      <c r="E14">
        <v>0.4</v>
      </c>
      <c r="F14">
        <v>1037.1817090192112</v>
      </c>
      <c r="G14">
        <v>-14.181709019211212</v>
      </c>
    </row>
    <row r="15" spans="1:7">
      <c r="A15">
        <v>1027</v>
      </c>
      <c r="B15">
        <v>1</v>
      </c>
      <c r="C15">
        <v>0.4</v>
      </c>
      <c r="D15">
        <v>1.05</v>
      </c>
      <c r="E15">
        <v>0.42</v>
      </c>
      <c r="F15">
        <v>1035.2512546039475</v>
      </c>
      <c r="G15">
        <v>-8.2512546039474728</v>
      </c>
    </row>
    <row r="16" spans="1:7">
      <c r="A16">
        <v>977</v>
      </c>
      <c r="B16">
        <v>1</v>
      </c>
      <c r="C16">
        <v>0.4</v>
      </c>
      <c r="D16">
        <v>1.05</v>
      </c>
      <c r="E16">
        <v>0.42</v>
      </c>
      <c r="F16">
        <v>1035.2512546039475</v>
      </c>
      <c r="G16">
        <v>-58.251254603947473</v>
      </c>
    </row>
    <row r="17" spans="1:7">
      <c r="A17">
        <v>902</v>
      </c>
      <c r="B17">
        <v>1</v>
      </c>
      <c r="C17">
        <v>0.75</v>
      </c>
      <c r="D17">
        <v>1.05</v>
      </c>
      <c r="E17">
        <v>0.78749999999999998</v>
      </c>
      <c r="F17">
        <v>923.36133976555573</v>
      </c>
      <c r="G17">
        <v>-21.361339765555726</v>
      </c>
    </row>
    <row r="18" spans="1:7">
      <c r="A18">
        <v>940</v>
      </c>
      <c r="B18">
        <v>1</v>
      </c>
      <c r="C18">
        <v>0.75</v>
      </c>
      <c r="D18">
        <v>1.1000000000000001</v>
      </c>
      <c r="E18">
        <v>0.82499999999999996</v>
      </c>
      <c r="F18">
        <v>926.05098468061692</v>
      </c>
      <c r="G18">
        <v>13.949015319383079</v>
      </c>
    </row>
    <row r="19" spans="1:7">
      <c r="A19">
        <v>954</v>
      </c>
      <c r="B19">
        <v>1</v>
      </c>
      <c r="C19">
        <v>0.75</v>
      </c>
      <c r="D19">
        <v>1.25</v>
      </c>
      <c r="E19">
        <v>0.9375</v>
      </c>
      <c r="F19">
        <v>934.11991942580062</v>
      </c>
      <c r="G19">
        <v>19.880080574199383</v>
      </c>
    </row>
    <row r="20" spans="1:7">
      <c r="A20">
        <v>941</v>
      </c>
      <c r="B20">
        <v>1</v>
      </c>
      <c r="C20">
        <v>0.75</v>
      </c>
      <c r="D20">
        <v>1.3</v>
      </c>
      <c r="E20">
        <v>0.97499999999999998</v>
      </c>
      <c r="F20">
        <v>936.80956434086181</v>
      </c>
      <c r="G20">
        <v>4.1904356591381884</v>
      </c>
    </row>
    <row r="21" spans="1:7">
      <c r="A21">
        <v>954</v>
      </c>
      <c r="B21">
        <v>1</v>
      </c>
      <c r="C21">
        <v>0.75</v>
      </c>
      <c r="D21">
        <v>1.5</v>
      </c>
      <c r="E21">
        <v>1.125</v>
      </c>
      <c r="F21">
        <v>947.5681440011067</v>
      </c>
      <c r="G21">
        <v>6.4318559988932975</v>
      </c>
    </row>
    <row r="22" spans="1:7">
      <c r="A22">
        <v>941</v>
      </c>
      <c r="B22">
        <v>1</v>
      </c>
      <c r="C22">
        <v>1</v>
      </c>
      <c r="D22">
        <v>1.55</v>
      </c>
      <c r="E22">
        <v>1.55</v>
      </c>
      <c r="F22">
        <v>903.3371306767807</v>
      </c>
      <c r="G22">
        <v>37.662869323219297</v>
      </c>
    </row>
    <row r="23" spans="1:7">
      <c r="A23">
        <v>884</v>
      </c>
      <c r="B23">
        <v>1</v>
      </c>
      <c r="C23">
        <v>1</v>
      </c>
      <c r="D23">
        <v>1.65</v>
      </c>
      <c r="E23">
        <v>1.65</v>
      </c>
      <c r="F23">
        <v>915.31656240736743</v>
      </c>
      <c r="G23">
        <v>-31.316562407367428</v>
      </c>
    </row>
    <row r="24" spans="1:7">
      <c r="A24">
        <v>927</v>
      </c>
      <c r="B24">
        <v>1</v>
      </c>
      <c r="C24">
        <v>1</v>
      </c>
      <c r="D24">
        <v>1.75</v>
      </c>
      <c r="E24">
        <v>1.75</v>
      </c>
      <c r="F24">
        <v>927.29599413795404</v>
      </c>
      <c r="G24">
        <v>-0.29599413795403962</v>
      </c>
    </row>
    <row r="25" spans="1:7">
      <c r="A25">
        <v>962</v>
      </c>
      <c r="B25">
        <v>1</v>
      </c>
      <c r="C25">
        <v>1</v>
      </c>
      <c r="D25">
        <v>1.75</v>
      </c>
      <c r="E25">
        <v>1.75</v>
      </c>
      <c r="F25">
        <v>927.29599413795404</v>
      </c>
      <c r="G25">
        <v>34.70400586204596</v>
      </c>
    </row>
    <row r="26" spans="1:7">
      <c r="A26">
        <v>905</v>
      </c>
      <c r="B26">
        <v>1</v>
      </c>
      <c r="C26">
        <v>1</v>
      </c>
      <c r="D26">
        <v>1.9</v>
      </c>
      <c r="E26">
        <v>1.9</v>
      </c>
      <c r="F26">
        <v>945.26514173383407</v>
      </c>
      <c r="G26">
        <v>-40.265141733834071</v>
      </c>
    </row>
    <row r="27" spans="1:7">
      <c r="A27">
        <v>932</v>
      </c>
      <c r="B27">
        <v>1</v>
      </c>
      <c r="C27">
        <v>1</v>
      </c>
      <c r="D27">
        <v>2</v>
      </c>
      <c r="E27">
        <v>2</v>
      </c>
      <c r="F27">
        <v>957.24457346442068</v>
      </c>
      <c r="G27">
        <v>-25.244573464420682</v>
      </c>
    </row>
    <row r="28" spans="1:7">
      <c r="A28">
        <v>926</v>
      </c>
      <c r="B28">
        <v>1</v>
      </c>
      <c r="C28">
        <v>1</v>
      </c>
      <c r="D28">
        <v>2</v>
      </c>
      <c r="E28">
        <v>2</v>
      </c>
      <c r="F28">
        <v>957.24457346442068</v>
      </c>
      <c r="G28">
        <v>-31.244573464420682</v>
      </c>
    </row>
    <row r="29" spans="1:7">
      <c r="A29">
        <v>934</v>
      </c>
      <c r="B29">
        <v>1</v>
      </c>
      <c r="C29">
        <v>1</v>
      </c>
      <c r="D29">
        <v>2</v>
      </c>
      <c r="E29">
        <v>2</v>
      </c>
      <c r="F29">
        <v>957.24457346442068</v>
      </c>
      <c r="G29">
        <v>-23.244573464420682</v>
      </c>
    </row>
    <row r="30" spans="1:7">
      <c r="A30">
        <v>982</v>
      </c>
      <c r="B30">
        <v>1</v>
      </c>
      <c r="C30">
        <v>1</v>
      </c>
      <c r="D30">
        <v>2.1</v>
      </c>
      <c r="E30">
        <v>2.1</v>
      </c>
      <c r="F30">
        <v>969.22400519500729</v>
      </c>
      <c r="G30">
        <v>12.775994804992706</v>
      </c>
    </row>
    <row r="31" spans="1:7">
      <c r="A31">
        <v>1022</v>
      </c>
      <c r="B31">
        <v>1</v>
      </c>
      <c r="C31">
        <v>1</v>
      </c>
      <c r="D31">
        <v>2.15</v>
      </c>
      <c r="E31">
        <v>2.15</v>
      </c>
      <c r="F31">
        <v>975.21372106030071</v>
      </c>
      <c r="G31">
        <v>46.786278939699287</v>
      </c>
    </row>
    <row r="32" spans="1:7">
      <c r="A32">
        <v>981</v>
      </c>
      <c r="B32">
        <v>1</v>
      </c>
      <c r="C32">
        <v>1</v>
      </c>
      <c r="D32">
        <v>2.15</v>
      </c>
      <c r="E32">
        <v>2.15</v>
      </c>
      <c r="F32">
        <v>975.21372106030071</v>
      </c>
      <c r="G32">
        <v>5.7862789396992866</v>
      </c>
    </row>
    <row r="33" spans="1:7">
      <c r="A33">
        <v>1018</v>
      </c>
      <c r="B33">
        <v>1</v>
      </c>
      <c r="C33">
        <v>1</v>
      </c>
      <c r="D33">
        <v>2.2000000000000002</v>
      </c>
      <c r="E33">
        <v>2.2000000000000002</v>
      </c>
      <c r="F33">
        <v>981.20343692559391</v>
      </c>
      <c r="G33">
        <v>36.796563074406095</v>
      </c>
    </row>
    <row r="34" spans="1:7">
      <c r="A34">
        <v>1017</v>
      </c>
      <c r="B34">
        <v>1</v>
      </c>
      <c r="C34">
        <v>1</v>
      </c>
      <c r="D34">
        <v>2.2000000000000002</v>
      </c>
      <c r="E34">
        <v>2.2000000000000002</v>
      </c>
      <c r="F34">
        <v>981.20343692559391</v>
      </c>
      <c r="G34">
        <v>35.796563074406095</v>
      </c>
    </row>
    <row r="35" spans="1:7">
      <c r="A35">
        <v>969</v>
      </c>
      <c r="B35">
        <v>1</v>
      </c>
      <c r="C35">
        <v>1.25</v>
      </c>
      <c r="D35">
        <v>2.2000000000000002</v>
      </c>
      <c r="E35">
        <v>2.75</v>
      </c>
      <c r="F35">
        <v>977.18370103922416</v>
      </c>
      <c r="G35">
        <v>-8.1837010392241609</v>
      </c>
    </row>
    <row r="36" spans="1:7">
      <c r="A36">
        <v>975</v>
      </c>
      <c r="B36">
        <v>1</v>
      </c>
      <c r="C36">
        <v>1.25</v>
      </c>
      <c r="D36">
        <v>2.25</v>
      </c>
      <c r="E36">
        <v>2.8125</v>
      </c>
      <c r="F36">
        <v>986.47348785474969</v>
      </c>
      <c r="G36">
        <v>-11.473487854749692</v>
      </c>
    </row>
    <row r="37" spans="1:7">
      <c r="A37">
        <v>960</v>
      </c>
      <c r="B37">
        <v>1</v>
      </c>
      <c r="C37">
        <v>1.25</v>
      </c>
      <c r="D37">
        <v>2.25</v>
      </c>
      <c r="E37">
        <v>2.8125</v>
      </c>
      <c r="F37">
        <v>986.47348785474969</v>
      </c>
      <c r="G37">
        <v>-26.473487854749692</v>
      </c>
    </row>
    <row r="39" spans="1:7">
      <c r="A39">
        <v>38239866</v>
      </c>
      <c r="B39">
        <v>1.0814585679622206</v>
      </c>
      <c r="C39">
        <v>-0.73428064006455462</v>
      </c>
      <c r="D39">
        <v>-1.3682773777415047</v>
      </c>
      <c r="E39">
        <v>1.1484165550896805</v>
      </c>
    </row>
    <row r="40" spans="1:7">
      <c r="A40">
        <v>257429.67567567568</v>
      </c>
      <c r="B40">
        <v>-0.73428064006454119</v>
      </c>
      <c r="C40">
        <v>3.5225453362278984</v>
      </c>
      <c r="D40">
        <v>-0.18821716582982015</v>
      </c>
      <c r="E40">
        <v>-1.231986867483144</v>
      </c>
    </row>
    <row r="41" spans="1:7">
      <c r="B41">
        <v>-1.3682773777415087</v>
      </c>
      <c r="C41">
        <v>-0.18821716582980083</v>
      </c>
      <c r="D41">
        <v>2.3149487351113338</v>
      </c>
      <c r="E41">
        <v>-1.4543910704514247</v>
      </c>
    </row>
    <row r="42" spans="1:7">
      <c r="A42">
        <v>1314.5473696390181</v>
      </c>
      <c r="B42">
        <v>1.1484165550896779</v>
      </c>
      <c r="C42">
        <v>-1.2319868674831567</v>
      </c>
      <c r="D42">
        <v>-1.4543910704514165</v>
      </c>
      <c r="E42">
        <v>1.4657977140398437</v>
      </c>
    </row>
    <row r="43" spans="1:7">
      <c r="A43">
        <v>-596.8914307863306</v>
      </c>
    </row>
    <row r="44" spans="1:7">
      <c r="A44">
        <v>-144.21135871270235</v>
      </c>
    </row>
    <row r="45" spans="1:7">
      <c r="A45">
        <v>264.00567601856892</v>
      </c>
    </row>
  </sheetData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F1" sqref="F1:F38"/>
    </sheetView>
  </sheetViews>
  <sheetFormatPr defaultRowHeight="12.75"/>
  <sheetData>
    <row r="1" spans="1:8">
      <c r="A1">
        <v>1190</v>
      </c>
      <c r="B1">
        <v>1</v>
      </c>
      <c r="C1">
        <v>0.15</v>
      </c>
      <c r="D1">
        <v>1800</v>
      </c>
      <c r="E1">
        <v>2900</v>
      </c>
      <c r="F1">
        <v>0.5</v>
      </c>
      <c r="G1">
        <v>1179.217042492051</v>
      </c>
      <c r="H1">
        <v>10.78295750794905</v>
      </c>
    </row>
    <row r="2" spans="1:8">
      <c r="A2">
        <v>1135</v>
      </c>
      <c r="B2">
        <v>1</v>
      </c>
      <c r="C2">
        <v>0.15</v>
      </c>
      <c r="D2">
        <v>1790</v>
      </c>
      <c r="E2">
        <v>3100</v>
      </c>
      <c r="F2">
        <v>0.5</v>
      </c>
      <c r="G2">
        <v>1165.2729093789792</v>
      </c>
      <c r="H2">
        <v>-30.272909378979193</v>
      </c>
    </row>
    <row r="3" spans="1:8">
      <c r="A3">
        <v>1161</v>
      </c>
      <c r="B3">
        <v>1</v>
      </c>
      <c r="C3">
        <v>0.15</v>
      </c>
      <c r="D3">
        <v>1780</v>
      </c>
      <c r="E3">
        <v>3200</v>
      </c>
      <c r="F3">
        <v>0.6</v>
      </c>
      <c r="G3">
        <v>1167.5226399437688</v>
      </c>
      <c r="H3">
        <v>-6.5226399437688087</v>
      </c>
    </row>
    <row r="4" spans="1:8">
      <c r="A4">
        <v>1165</v>
      </c>
      <c r="B4">
        <v>1</v>
      </c>
      <c r="C4">
        <v>0.25</v>
      </c>
      <c r="D4">
        <v>1778</v>
      </c>
      <c r="E4">
        <v>3250</v>
      </c>
      <c r="F4">
        <v>0.6</v>
      </c>
      <c r="G4">
        <v>1150.4882862462537</v>
      </c>
      <c r="H4">
        <v>14.511713753746335</v>
      </c>
    </row>
    <row r="5" spans="1:8">
      <c r="A5">
        <v>1171</v>
      </c>
      <c r="B5">
        <v>1</v>
      </c>
      <c r="C5">
        <v>0.25</v>
      </c>
      <c r="D5">
        <v>1750</v>
      </c>
      <c r="E5">
        <v>3275</v>
      </c>
      <c r="F5">
        <v>0.6</v>
      </c>
      <c r="G5">
        <v>1127.9780391032509</v>
      </c>
      <c r="H5">
        <v>43.021960896749079</v>
      </c>
    </row>
    <row r="6" spans="1:8">
      <c r="A6">
        <v>1136</v>
      </c>
      <c r="B6">
        <v>1</v>
      </c>
      <c r="C6">
        <v>0.25</v>
      </c>
      <c r="D6">
        <v>1740</v>
      </c>
      <c r="E6">
        <v>3290</v>
      </c>
      <c r="F6">
        <v>0.7</v>
      </c>
      <c r="G6">
        <v>1132.8545597124439</v>
      </c>
      <c r="H6">
        <v>3.1454402875560845</v>
      </c>
    </row>
    <row r="7" spans="1:8">
      <c r="A7">
        <v>1079</v>
      </c>
      <c r="B7">
        <v>1</v>
      </c>
      <c r="C7">
        <v>0.25</v>
      </c>
      <c r="D7">
        <v>1725</v>
      </c>
      <c r="E7">
        <v>4100</v>
      </c>
      <c r="F7">
        <v>0.75</v>
      </c>
      <c r="G7">
        <v>1102.7293810009917</v>
      </c>
      <c r="H7">
        <v>-23.72938100099168</v>
      </c>
    </row>
    <row r="8" spans="1:8">
      <c r="A8">
        <v>1051</v>
      </c>
      <c r="B8">
        <v>1</v>
      </c>
      <c r="C8">
        <v>0.3</v>
      </c>
      <c r="D8">
        <v>1725</v>
      </c>
      <c r="E8">
        <v>4300</v>
      </c>
      <c r="F8">
        <v>0.75</v>
      </c>
      <c r="G8">
        <v>1089.580452067557</v>
      </c>
      <c r="H8">
        <v>-38.580452067556962</v>
      </c>
    </row>
    <row r="9" spans="1:8">
      <c r="A9">
        <v>1079</v>
      </c>
      <c r="B9">
        <v>1</v>
      </c>
      <c r="C9">
        <v>0.3</v>
      </c>
      <c r="D9">
        <v>1720</v>
      </c>
      <c r="E9">
        <v>4400</v>
      </c>
      <c r="F9">
        <v>0.75</v>
      </c>
      <c r="G9">
        <v>1082.6083855110212</v>
      </c>
      <c r="H9">
        <v>-3.6083855110211971</v>
      </c>
    </row>
    <row r="10" spans="1:8">
      <c r="A10">
        <v>1086</v>
      </c>
      <c r="B10">
        <v>1</v>
      </c>
      <c r="C10">
        <v>0.3</v>
      </c>
      <c r="D10">
        <v>1705</v>
      </c>
      <c r="E10">
        <v>4600</v>
      </c>
      <c r="F10">
        <v>0.8</v>
      </c>
      <c r="G10">
        <v>1071.3342882946993</v>
      </c>
      <c r="H10">
        <v>14.665711705300737</v>
      </c>
    </row>
    <row r="11" spans="1:8">
      <c r="A11">
        <v>1074</v>
      </c>
      <c r="B11">
        <v>1</v>
      </c>
      <c r="C11">
        <v>0.3</v>
      </c>
      <c r="D11">
        <v>1710</v>
      </c>
      <c r="E11">
        <v>4815</v>
      </c>
      <c r="F11">
        <v>0.8</v>
      </c>
      <c r="G11">
        <v>1068.5717799807987</v>
      </c>
      <c r="H11">
        <v>5.4282200192012624</v>
      </c>
    </row>
    <row r="12" spans="1:8">
      <c r="A12">
        <v>1056</v>
      </c>
      <c r="B12">
        <v>1</v>
      </c>
      <c r="C12">
        <v>0.4</v>
      </c>
      <c r="D12">
        <v>1700</v>
      </c>
      <c r="E12">
        <v>5285</v>
      </c>
      <c r="F12">
        <v>0.8</v>
      </c>
      <c r="G12">
        <v>1032.3472325981804</v>
      </c>
      <c r="H12">
        <v>23.652767401819574</v>
      </c>
    </row>
    <row r="13" spans="1:8">
      <c r="A13">
        <v>1052</v>
      </c>
      <c r="B13">
        <v>1</v>
      </c>
      <c r="C13">
        <v>0.4</v>
      </c>
      <c r="D13">
        <v>1695</v>
      </c>
      <c r="E13">
        <v>5665</v>
      </c>
      <c r="F13">
        <v>0.85</v>
      </c>
      <c r="G13">
        <v>1023.2739718258325</v>
      </c>
      <c r="H13">
        <v>28.726028174167482</v>
      </c>
    </row>
    <row r="14" spans="1:8">
      <c r="A14">
        <v>1023</v>
      </c>
      <c r="B14">
        <v>1</v>
      </c>
      <c r="C14">
        <v>0.4</v>
      </c>
      <c r="D14">
        <v>1695</v>
      </c>
      <c r="E14">
        <v>5800</v>
      </c>
      <c r="F14">
        <v>1</v>
      </c>
      <c r="G14">
        <v>1038.757294840801</v>
      </c>
      <c r="H14">
        <v>-15.757294840801023</v>
      </c>
    </row>
    <row r="15" spans="1:8">
      <c r="A15">
        <v>1027</v>
      </c>
      <c r="B15">
        <v>1</v>
      </c>
      <c r="C15">
        <v>0.4</v>
      </c>
      <c r="D15">
        <v>1690</v>
      </c>
      <c r="E15">
        <v>5900</v>
      </c>
      <c r="F15">
        <v>1.05</v>
      </c>
      <c r="G15">
        <v>1038.3369895088408</v>
      </c>
      <c r="H15">
        <v>-11.336989508840816</v>
      </c>
    </row>
    <row r="16" spans="1:8">
      <c r="A16">
        <v>977</v>
      </c>
      <c r="B16">
        <v>1</v>
      </c>
      <c r="C16">
        <v>0.4</v>
      </c>
      <c r="D16">
        <v>1630</v>
      </c>
      <c r="E16">
        <v>5915</v>
      </c>
      <c r="F16">
        <v>1.05</v>
      </c>
      <c r="G16">
        <v>991.29273439062331</v>
      </c>
      <c r="H16">
        <v>-14.292734390623309</v>
      </c>
    </row>
    <row r="17" spans="1:8">
      <c r="A17">
        <v>902</v>
      </c>
      <c r="B17">
        <v>1</v>
      </c>
      <c r="C17">
        <v>0.75</v>
      </c>
      <c r="D17">
        <v>1640</v>
      </c>
      <c r="E17">
        <v>6325</v>
      </c>
      <c r="F17">
        <v>1.05</v>
      </c>
      <c r="G17">
        <v>937.6080606764599</v>
      </c>
      <c r="H17">
        <v>-35.6080606764599</v>
      </c>
    </row>
    <row r="18" spans="1:8">
      <c r="A18">
        <v>940</v>
      </c>
      <c r="B18">
        <v>1</v>
      </c>
      <c r="C18">
        <v>0.75</v>
      </c>
      <c r="D18">
        <v>1635</v>
      </c>
      <c r="E18">
        <v>6500</v>
      </c>
      <c r="F18">
        <v>1.1000000000000001</v>
      </c>
      <c r="G18">
        <v>934.86999942296711</v>
      </c>
      <c r="H18">
        <v>5.130000577032888</v>
      </c>
    </row>
    <row r="19" spans="1:8">
      <c r="A19">
        <v>954</v>
      </c>
      <c r="B19">
        <v>1</v>
      </c>
      <c r="C19">
        <v>0.75</v>
      </c>
      <c r="D19">
        <v>1630</v>
      </c>
      <c r="E19">
        <v>6612</v>
      </c>
      <c r="F19">
        <v>1.25</v>
      </c>
      <c r="G19">
        <v>947.18237559271279</v>
      </c>
      <c r="H19">
        <v>6.8176244072872123</v>
      </c>
    </row>
    <row r="20" spans="1:8">
      <c r="A20">
        <v>941</v>
      </c>
      <c r="B20">
        <v>1</v>
      </c>
      <c r="C20">
        <v>0.75</v>
      </c>
      <c r="D20">
        <v>1620</v>
      </c>
      <c r="E20">
        <v>6883</v>
      </c>
      <c r="F20">
        <v>1.3</v>
      </c>
      <c r="G20">
        <v>937.59586143183287</v>
      </c>
      <c r="H20">
        <v>3.4041385681671272</v>
      </c>
    </row>
    <row r="21" spans="1:8">
      <c r="A21">
        <v>954</v>
      </c>
      <c r="B21">
        <v>1</v>
      </c>
      <c r="C21">
        <v>0.75</v>
      </c>
      <c r="D21">
        <v>1615</v>
      </c>
      <c r="E21">
        <v>7005</v>
      </c>
      <c r="F21">
        <v>1.5</v>
      </c>
      <c r="G21">
        <v>956.15096470328331</v>
      </c>
      <c r="H21">
        <v>-2.1509647032833072</v>
      </c>
    </row>
    <row r="22" spans="1:8">
      <c r="A22">
        <v>941</v>
      </c>
      <c r="B22">
        <v>1</v>
      </c>
      <c r="C22">
        <v>1</v>
      </c>
      <c r="D22">
        <v>1605</v>
      </c>
      <c r="E22">
        <v>7234</v>
      </c>
      <c r="F22">
        <v>1.55</v>
      </c>
      <c r="G22">
        <v>913.0211614783866</v>
      </c>
      <c r="H22">
        <v>27.978838521613397</v>
      </c>
    </row>
    <row r="23" spans="1:8">
      <c r="A23">
        <v>884</v>
      </c>
      <c r="B23">
        <v>1</v>
      </c>
      <c r="C23">
        <v>1</v>
      </c>
      <c r="D23">
        <v>1590</v>
      </c>
      <c r="E23">
        <v>7500</v>
      </c>
      <c r="F23">
        <v>1.65</v>
      </c>
      <c r="G23">
        <v>906.25920027569157</v>
      </c>
      <c r="H23">
        <v>-22.259200275691569</v>
      </c>
    </row>
    <row r="24" spans="1:8">
      <c r="A24">
        <v>927</v>
      </c>
      <c r="B24">
        <v>1</v>
      </c>
      <c r="C24">
        <v>1</v>
      </c>
      <c r="D24">
        <v>1595</v>
      </c>
      <c r="E24">
        <v>7600</v>
      </c>
      <c r="F24">
        <v>1.75</v>
      </c>
      <c r="G24">
        <v>920.15410682395895</v>
      </c>
      <c r="H24">
        <v>6.8458931760410451</v>
      </c>
    </row>
    <row r="25" spans="1:8">
      <c r="A25">
        <v>962</v>
      </c>
      <c r="B25">
        <v>1</v>
      </c>
      <c r="C25">
        <v>1</v>
      </c>
      <c r="D25">
        <v>1590</v>
      </c>
      <c r="E25">
        <v>7800</v>
      </c>
      <c r="F25">
        <v>1.75</v>
      </c>
      <c r="G25">
        <v>910.09169903871316</v>
      </c>
      <c r="H25">
        <v>51.908300961286841</v>
      </c>
    </row>
    <row r="26" spans="1:8">
      <c r="A26">
        <v>905</v>
      </c>
      <c r="B26">
        <v>1</v>
      </c>
      <c r="C26">
        <v>1</v>
      </c>
      <c r="D26">
        <v>1600</v>
      </c>
      <c r="E26">
        <v>8000</v>
      </c>
      <c r="F26">
        <v>1.9</v>
      </c>
      <c r="G26">
        <v>931.32975091067203</v>
      </c>
      <c r="H26">
        <v>-26.329750910672033</v>
      </c>
    </row>
    <row r="27" spans="1:8">
      <c r="A27">
        <v>932</v>
      </c>
      <c r="B27">
        <v>1</v>
      </c>
      <c r="C27">
        <v>1</v>
      </c>
      <c r="D27">
        <v>1610</v>
      </c>
      <c r="E27">
        <v>8100</v>
      </c>
      <c r="F27">
        <v>2</v>
      </c>
      <c r="G27">
        <v>949.10638278676527</v>
      </c>
      <c r="H27">
        <v>-17.106382786765266</v>
      </c>
    </row>
    <row r="28" spans="1:8">
      <c r="A28">
        <v>926</v>
      </c>
      <c r="B28">
        <v>1</v>
      </c>
      <c r="C28">
        <v>1</v>
      </c>
      <c r="D28">
        <v>1605</v>
      </c>
      <c r="E28">
        <v>8250</v>
      </c>
      <c r="F28">
        <v>2</v>
      </c>
      <c r="G28">
        <v>940.58914561587449</v>
      </c>
      <c r="H28">
        <v>-14.589145615874486</v>
      </c>
    </row>
    <row r="29" spans="1:8">
      <c r="A29">
        <v>934</v>
      </c>
      <c r="B29">
        <v>1</v>
      </c>
      <c r="C29">
        <v>1</v>
      </c>
      <c r="D29">
        <v>1630</v>
      </c>
      <c r="E29">
        <v>8415</v>
      </c>
      <c r="F29">
        <v>2</v>
      </c>
      <c r="G29">
        <v>954.89870922763248</v>
      </c>
      <c r="H29">
        <v>-20.89870922763248</v>
      </c>
    </row>
    <row r="30" spans="1:8">
      <c r="A30">
        <v>982</v>
      </c>
      <c r="B30">
        <v>1</v>
      </c>
      <c r="C30">
        <v>1</v>
      </c>
      <c r="D30">
        <v>1640</v>
      </c>
      <c r="E30">
        <v>8500</v>
      </c>
      <c r="F30">
        <v>2.1</v>
      </c>
      <c r="G30">
        <v>973.13889228803225</v>
      </c>
      <c r="H30">
        <v>8.8611077119677475</v>
      </c>
    </row>
    <row r="31" spans="1:8">
      <c r="A31">
        <v>1022</v>
      </c>
      <c r="B31">
        <v>1</v>
      </c>
      <c r="C31">
        <v>1</v>
      </c>
      <c r="D31">
        <v>1655</v>
      </c>
      <c r="E31">
        <v>8676</v>
      </c>
      <c r="F31">
        <v>2.15</v>
      </c>
      <c r="G31">
        <v>985.89682893355598</v>
      </c>
      <c r="H31">
        <v>36.10317106644402</v>
      </c>
    </row>
    <row r="32" spans="1:8">
      <c r="A32">
        <v>981</v>
      </c>
      <c r="B32">
        <v>1</v>
      </c>
      <c r="C32">
        <v>1</v>
      </c>
      <c r="D32">
        <v>1660</v>
      </c>
      <c r="E32">
        <v>8802</v>
      </c>
      <c r="F32">
        <v>2.15</v>
      </c>
      <c r="G32">
        <v>985.88472431320747</v>
      </c>
      <c r="H32">
        <v>-4.8847243132074709</v>
      </c>
    </row>
    <row r="33" spans="1:8">
      <c r="A33">
        <v>1018</v>
      </c>
      <c r="B33">
        <v>1</v>
      </c>
      <c r="C33">
        <v>1</v>
      </c>
      <c r="D33">
        <v>1670</v>
      </c>
      <c r="E33">
        <v>8900</v>
      </c>
      <c r="F33">
        <v>2.2000000000000002</v>
      </c>
      <c r="G33">
        <v>997.17140178929913</v>
      </c>
      <c r="H33">
        <v>20.828598210700875</v>
      </c>
    </row>
    <row r="34" spans="1:8">
      <c r="A34">
        <v>1017</v>
      </c>
      <c r="B34">
        <v>1</v>
      </c>
      <c r="C34">
        <v>1</v>
      </c>
      <c r="D34">
        <v>1680</v>
      </c>
      <c r="E34">
        <v>8885</v>
      </c>
      <c r="F34">
        <v>2.2000000000000002</v>
      </c>
      <c r="G34">
        <v>1005.3984036292575</v>
      </c>
      <c r="H34">
        <v>11.601596370742527</v>
      </c>
    </row>
    <row r="35" spans="1:8">
      <c r="A35">
        <v>969</v>
      </c>
      <c r="B35">
        <v>1</v>
      </c>
      <c r="C35">
        <v>1.25</v>
      </c>
      <c r="D35">
        <v>1685</v>
      </c>
      <c r="E35">
        <v>8945</v>
      </c>
      <c r="F35">
        <v>2.2000000000000002</v>
      </c>
      <c r="G35">
        <v>972.58469183978264</v>
      </c>
      <c r="H35">
        <v>-3.5846918397826357</v>
      </c>
    </row>
    <row r="36" spans="1:8">
      <c r="A36">
        <v>975</v>
      </c>
      <c r="B36">
        <v>1</v>
      </c>
      <c r="C36">
        <v>1.25</v>
      </c>
      <c r="D36">
        <v>1695</v>
      </c>
      <c r="E36">
        <v>8937</v>
      </c>
      <c r="F36">
        <v>2.25</v>
      </c>
      <c r="G36">
        <v>987.14713101830671</v>
      </c>
      <c r="H36">
        <v>-12.147131018306709</v>
      </c>
    </row>
    <row r="37" spans="1:8">
      <c r="A37">
        <v>960</v>
      </c>
      <c r="B37">
        <v>1</v>
      </c>
      <c r="C37">
        <v>1.25</v>
      </c>
      <c r="D37">
        <v>1685</v>
      </c>
      <c r="E37">
        <v>8925</v>
      </c>
      <c r="F37">
        <v>2.25</v>
      </c>
      <c r="G37">
        <v>979.75452131010024</v>
      </c>
      <c r="H37">
        <v>-19.754521310100245</v>
      </c>
    </row>
    <row r="39" spans="1:8">
      <c r="A39">
        <v>38239866</v>
      </c>
      <c r="B39">
        <v>92.127400536092352</v>
      </c>
      <c r="C39">
        <v>-4.4650822708133999</v>
      </c>
      <c r="D39">
        <v>-4.9192053173736872E-2</v>
      </c>
      <c r="E39">
        <v>-2.8455990429938223E-3</v>
      </c>
      <c r="F39">
        <v>8.45542822080421</v>
      </c>
    </row>
    <row r="40" spans="1:8">
      <c r="A40">
        <v>257429.67567567568</v>
      </c>
      <c r="B40">
        <v>-4.4650822708128448</v>
      </c>
      <c r="C40">
        <v>3.4418640297031091</v>
      </c>
      <c r="D40">
        <v>2.8948605335215255E-3</v>
      </c>
      <c r="E40">
        <v>-1.5097862479268999E-4</v>
      </c>
      <c r="F40">
        <v>-1.2901522223639315</v>
      </c>
    </row>
    <row r="41" spans="1:8">
      <c r="B41">
        <v>-4.919205317373649E-2</v>
      </c>
      <c r="C41">
        <v>2.8948605335218001E-3</v>
      </c>
      <c r="D41">
        <v>2.6522900567860503E-5</v>
      </c>
      <c r="E41">
        <v>1.3639299796238834E-6</v>
      </c>
      <c r="F41">
        <v>-4.3444783200047186E-3</v>
      </c>
    </row>
    <row r="42" spans="1:8">
      <c r="A42">
        <v>-173.19705271039857</v>
      </c>
      <c r="B42">
        <v>-2.8455990429941212E-3</v>
      </c>
      <c r="C42">
        <v>-1.5097862479265551E-4</v>
      </c>
      <c r="D42">
        <v>1.3639299796240549E-6</v>
      </c>
      <c r="E42">
        <v>2.1087758037246517E-7</v>
      </c>
      <c r="F42">
        <v>-5.0252086975727825E-4</v>
      </c>
    </row>
    <row r="43" spans="1:8">
      <c r="A43">
        <v>-139.36492952029948</v>
      </c>
      <c r="B43">
        <v>8.455428220804853</v>
      </c>
      <c r="C43">
        <v>-1.2901522223640223</v>
      </c>
      <c r="D43">
        <v>-4.3444783200050994E-3</v>
      </c>
      <c r="E43">
        <v>-5.0252086975726925E-4</v>
      </c>
      <c r="F43">
        <v>2.1370243415030594</v>
      </c>
    </row>
    <row r="44" spans="1:8">
      <c r="A44">
        <v>0.7763450655651809</v>
      </c>
    </row>
    <row r="45" spans="1:8">
      <c r="A45">
        <v>-3.090341228709903E-2</v>
      </c>
    </row>
    <row r="46" spans="1:8">
      <c r="A46">
        <v>131.03522449151205</v>
      </c>
    </row>
  </sheetData>
  <phoneticPr fontId="3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F1" sqref="F1:F38"/>
    </sheetView>
  </sheetViews>
  <sheetFormatPr defaultRowHeight="12.75"/>
  <sheetData>
    <row r="1" spans="1:8">
      <c r="A1">
        <v>1194</v>
      </c>
      <c r="B1">
        <v>1</v>
      </c>
      <c r="C1">
        <v>0.15</v>
      </c>
      <c r="D1">
        <v>1800</v>
      </c>
      <c r="E1">
        <v>2900</v>
      </c>
      <c r="F1">
        <v>0.5</v>
      </c>
      <c r="G1">
        <v>1191.0307374009219</v>
      </c>
      <c r="H1">
        <v>2.9692625990780925</v>
      </c>
    </row>
    <row r="2" spans="1:8">
      <c r="A2">
        <v>1209</v>
      </c>
      <c r="B2">
        <v>1</v>
      </c>
      <c r="C2">
        <v>0.15</v>
      </c>
      <c r="D2">
        <v>1790</v>
      </c>
      <c r="E2">
        <v>3100</v>
      </c>
      <c r="F2">
        <v>0.5</v>
      </c>
      <c r="G2">
        <v>1170.0286269553626</v>
      </c>
      <c r="H2">
        <v>38.971373044637403</v>
      </c>
    </row>
    <row r="3" spans="1:8">
      <c r="A3">
        <v>1131</v>
      </c>
      <c r="B3">
        <v>1</v>
      </c>
      <c r="C3">
        <v>0.15</v>
      </c>
      <c r="D3">
        <v>1780</v>
      </c>
      <c r="E3">
        <v>3200</v>
      </c>
      <c r="F3">
        <v>0.6</v>
      </c>
      <c r="G3">
        <v>1187.0995105654845</v>
      </c>
      <c r="H3">
        <v>-56.099510565484479</v>
      </c>
    </row>
    <row r="4" spans="1:8">
      <c r="A4">
        <v>1213</v>
      </c>
      <c r="B4">
        <v>1</v>
      </c>
      <c r="C4">
        <v>0.25</v>
      </c>
      <c r="D4">
        <v>1778</v>
      </c>
      <c r="E4">
        <v>3250</v>
      </c>
      <c r="F4">
        <v>0.6</v>
      </c>
      <c r="G4">
        <v>1164.0460166664302</v>
      </c>
      <c r="H4">
        <v>48.953983333569795</v>
      </c>
    </row>
    <row r="5" spans="1:8">
      <c r="A5">
        <v>1117</v>
      </c>
      <c r="B5">
        <v>1</v>
      </c>
      <c r="C5">
        <v>0.25</v>
      </c>
      <c r="D5">
        <v>1750</v>
      </c>
      <c r="E5">
        <v>3275</v>
      </c>
      <c r="F5">
        <v>0.6</v>
      </c>
      <c r="G5">
        <v>1146.4165460744175</v>
      </c>
      <c r="H5">
        <v>-29.416546074417511</v>
      </c>
    </row>
    <row r="6" spans="1:8">
      <c r="A6">
        <v>1211</v>
      </c>
      <c r="B6">
        <v>1</v>
      </c>
      <c r="C6">
        <v>0.25</v>
      </c>
      <c r="D6">
        <v>1740</v>
      </c>
      <c r="E6">
        <v>3290</v>
      </c>
      <c r="F6">
        <v>0.7</v>
      </c>
      <c r="G6">
        <v>1170.029480685889</v>
      </c>
      <c r="H6">
        <v>40.970519314111016</v>
      </c>
    </row>
    <row r="7" spans="1:8">
      <c r="A7">
        <v>1107</v>
      </c>
      <c r="B7">
        <v>1</v>
      </c>
      <c r="C7">
        <v>0.25</v>
      </c>
      <c r="D7">
        <v>1725</v>
      </c>
      <c r="E7">
        <v>4100</v>
      </c>
      <c r="F7">
        <v>0.75</v>
      </c>
      <c r="G7">
        <v>1114.4622407423815</v>
      </c>
      <c r="H7">
        <v>-7.4622407423814821</v>
      </c>
    </row>
    <row r="8" spans="1:8">
      <c r="A8">
        <v>1136</v>
      </c>
      <c r="B8">
        <v>1</v>
      </c>
      <c r="C8">
        <v>0.3</v>
      </c>
      <c r="D8">
        <v>1725</v>
      </c>
      <c r="E8">
        <v>4300</v>
      </c>
      <c r="F8">
        <v>0.75</v>
      </c>
      <c r="G8">
        <v>1090.0274701872554</v>
      </c>
      <c r="H8">
        <v>45.972529812744597</v>
      </c>
    </row>
    <row r="9" spans="1:8">
      <c r="A9">
        <v>1030</v>
      </c>
      <c r="B9">
        <v>1</v>
      </c>
      <c r="C9">
        <v>0.3</v>
      </c>
      <c r="D9">
        <v>1720</v>
      </c>
      <c r="E9">
        <v>4400</v>
      </c>
      <c r="F9">
        <v>0.75</v>
      </c>
      <c r="G9">
        <v>1079.5264149644756</v>
      </c>
      <c r="H9">
        <v>-49.526414964475634</v>
      </c>
    </row>
    <row r="10" spans="1:8">
      <c r="A10">
        <v>1053</v>
      </c>
      <c r="B10">
        <v>1</v>
      </c>
      <c r="C10">
        <v>0.3</v>
      </c>
      <c r="D10">
        <v>1705</v>
      </c>
      <c r="E10">
        <v>4600</v>
      </c>
      <c r="F10">
        <v>0.8</v>
      </c>
      <c r="G10">
        <v>1070.9080116188888</v>
      </c>
      <c r="H10">
        <v>-17.90801161888885</v>
      </c>
    </row>
    <row r="11" spans="1:8">
      <c r="A11">
        <v>1011</v>
      </c>
      <c r="B11">
        <v>1</v>
      </c>
      <c r="C11">
        <v>0.3</v>
      </c>
      <c r="D11">
        <v>1710</v>
      </c>
      <c r="E11">
        <v>4815</v>
      </c>
      <c r="F11">
        <v>0.8</v>
      </c>
      <c r="G11">
        <v>1057.1649954837258</v>
      </c>
      <c r="H11">
        <v>-46.164995483725761</v>
      </c>
    </row>
    <row r="12" spans="1:8">
      <c r="A12">
        <v>961</v>
      </c>
      <c r="B12">
        <v>1</v>
      </c>
      <c r="C12">
        <v>0.4</v>
      </c>
      <c r="D12">
        <v>1700</v>
      </c>
      <c r="E12">
        <v>5285</v>
      </c>
      <c r="F12">
        <v>0.8</v>
      </c>
      <c r="G12">
        <v>997.29883369468416</v>
      </c>
      <c r="H12">
        <v>-36.298833694684163</v>
      </c>
    </row>
    <row r="13" spans="1:8">
      <c r="A13">
        <v>938</v>
      </c>
      <c r="B13">
        <v>1</v>
      </c>
      <c r="C13">
        <v>0.4</v>
      </c>
      <c r="D13">
        <v>1695</v>
      </c>
      <c r="E13">
        <v>5665</v>
      </c>
      <c r="F13">
        <v>0.85</v>
      </c>
      <c r="G13">
        <v>980.43572455332901</v>
      </c>
      <c r="H13">
        <v>-42.43572455332901</v>
      </c>
    </row>
    <row r="14" spans="1:8">
      <c r="A14">
        <v>1046</v>
      </c>
      <c r="B14">
        <v>1</v>
      </c>
      <c r="C14">
        <v>0.4</v>
      </c>
      <c r="D14">
        <v>1695</v>
      </c>
      <c r="E14">
        <v>5800</v>
      </c>
      <c r="F14">
        <v>1</v>
      </c>
      <c r="G14">
        <v>1015.6101034558552</v>
      </c>
      <c r="H14">
        <v>30.38989654414479</v>
      </c>
    </row>
    <row r="15" spans="1:8">
      <c r="A15">
        <v>1058</v>
      </c>
      <c r="B15">
        <v>1</v>
      </c>
      <c r="C15">
        <v>0.4</v>
      </c>
      <c r="D15">
        <v>1690</v>
      </c>
      <c r="E15">
        <v>5900</v>
      </c>
      <c r="F15">
        <v>1.05</v>
      </c>
      <c r="G15">
        <v>1020.2972799660047</v>
      </c>
      <c r="H15">
        <v>37.70272003399532</v>
      </c>
    </row>
    <row r="16" spans="1:8">
      <c r="A16">
        <v>975</v>
      </c>
      <c r="B16">
        <v>1</v>
      </c>
      <c r="C16">
        <v>0.4</v>
      </c>
      <c r="D16">
        <v>1630</v>
      </c>
      <c r="E16">
        <v>5915</v>
      </c>
      <c r="F16">
        <v>1.05</v>
      </c>
      <c r="G16">
        <v>985.4885047820519</v>
      </c>
      <c r="H16">
        <v>-10.488504782051905</v>
      </c>
    </row>
    <row r="17" spans="1:8">
      <c r="A17">
        <v>914</v>
      </c>
      <c r="B17">
        <v>1</v>
      </c>
      <c r="C17">
        <v>0.75</v>
      </c>
      <c r="D17">
        <v>1640</v>
      </c>
      <c r="E17">
        <v>6325</v>
      </c>
      <c r="F17">
        <v>1.05</v>
      </c>
      <c r="G17">
        <v>896.24981300133015</v>
      </c>
      <c r="H17">
        <v>17.750186998669847</v>
      </c>
    </row>
    <row r="18" spans="1:8">
      <c r="A18">
        <v>918</v>
      </c>
      <c r="B18">
        <v>1</v>
      </c>
      <c r="C18">
        <v>0.75</v>
      </c>
      <c r="D18">
        <v>1635</v>
      </c>
      <c r="E18">
        <v>6500</v>
      </c>
      <c r="F18">
        <v>1.1000000000000001</v>
      </c>
      <c r="G18">
        <v>895.1645915691123</v>
      </c>
      <c r="H18">
        <v>22.835408430887696</v>
      </c>
    </row>
    <row r="19" spans="1:8">
      <c r="A19">
        <v>989</v>
      </c>
      <c r="B19">
        <v>1</v>
      </c>
      <c r="C19">
        <v>0.75</v>
      </c>
      <c r="D19">
        <v>1630</v>
      </c>
      <c r="E19">
        <v>6612</v>
      </c>
      <c r="F19">
        <v>1.25</v>
      </c>
      <c r="G19">
        <v>929.3046478743413</v>
      </c>
      <c r="H19">
        <v>59.695352125658701</v>
      </c>
    </row>
    <row r="20" spans="1:8">
      <c r="A20">
        <v>904</v>
      </c>
      <c r="B20">
        <v>1</v>
      </c>
      <c r="C20">
        <v>0.75</v>
      </c>
      <c r="D20">
        <v>1620</v>
      </c>
      <c r="E20">
        <v>6883</v>
      </c>
      <c r="F20">
        <v>1.3</v>
      </c>
      <c r="G20">
        <v>918.02623244293659</v>
      </c>
      <c r="H20">
        <v>-14.026232442936589</v>
      </c>
    </row>
    <row r="21" spans="1:8">
      <c r="A21">
        <v>917</v>
      </c>
      <c r="B21">
        <v>1</v>
      </c>
      <c r="C21">
        <v>0.75</v>
      </c>
      <c r="D21">
        <v>1615</v>
      </c>
      <c r="E21">
        <v>7005</v>
      </c>
      <c r="F21">
        <v>1.5</v>
      </c>
      <c r="G21">
        <v>966.58486742211244</v>
      </c>
      <c r="H21">
        <v>-49.584867422112438</v>
      </c>
    </row>
    <row r="22" spans="1:8">
      <c r="A22">
        <v>908</v>
      </c>
      <c r="B22">
        <v>1</v>
      </c>
      <c r="C22">
        <v>1</v>
      </c>
      <c r="D22">
        <v>1605</v>
      </c>
      <c r="E22">
        <v>7234</v>
      </c>
      <c r="F22">
        <v>1.55</v>
      </c>
      <c r="G22">
        <v>913.3304479610332</v>
      </c>
      <c r="H22">
        <v>-5.330447961033201</v>
      </c>
    </row>
    <row r="23" spans="1:8">
      <c r="A23">
        <v>951</v>
      </c>
      <c r="B23">
        <v>1</v>
      </c>
      <c r="C23">
        <v>1</v>
      </c>
      <c r="D23">
        <v>1590</v>
      </c>
      <c r="E23">
        <v>7500</v>
      </c>
      <c r="F23">
        <v>1.65</v>
      </c>
      <c r="G23">
        <v>914.82056615909232</v>
      </c>
      <c r="H23">
        <v>36.179433840907677</v>
      </c>
    </row>
    <row r="24" spans="1:8">
      <c r="A24">
        <v>927</v>
      </c>
      <c r="B24">
        <v>1</v>
      </c>
      <c r="C24">
        <v>1</v>
      </c>
      <c r="D24">
        <v>1595</v>
      </c>
      <c r="E24">
        <v>7600</v>
      </c>
      <c r="F24">
        <v>1.75</v>
      </c>
      <c r="G24">
        <v>940.305023668084</v>
      </c>
      <c r="H24">
        <v>-13.305023668084004</v>
      </c>
    </row>
    <row r="25" spans="1:8">
      <c r="A25">
        <v>963</v>
      </c>
      <c r="B25">
        <v>1</v>
      </c>
      <c r="C25">
        <v>1</v>
      </c>
      <c r="D25">
        <v>1590</v>
      </c>
      <c r="E25">
        <v>7800</v>
      </c>
      <c r="F25">
        <v>1.75</v>
      </c>
      <c r="G25">
        <v>922.10743785548129</v>
      </c>
      <c r="H25">
        <v>40.892562144518706</v>
      </c>
    </row>
    <row r="26" spans="1:8">
      <c r="A26">
        <v>994</v>
      </c>
      <c r="B26">
        <v>1</v>
      </c>
      <c r="C26">
        <v>1</v>
      </c>
      <c r="D26">
        <v>1600</v>
      </c>
      <c r="E26">
        <v>8000</v>
      </c>
      <c r="F26">
        <v>1.9</v>
      </c>
      <c r="G26">
        <v>957.88812114053576</v>
      </c>
      <c r="H26">
        <v>36.111878859464241</v>
      </c>
    </row>
    <row r="27" spans="1:8">
      <c r="A27">
        <v>973</v>
      </c>
      <c r="B27">
        <v>1</v>
      </c>
      <c r="C27">
        <v>1</v>
      </c>
      <c r="D27">
        <v>1610</v>
      </c>
      <c r="E27">
        <v>8100</v>
      </c>
      <c r="F27">
        <v>2</v>
      </c>
      <c r="G27">
        <v>986.17710328248415</v>
      </c>
      <c r="H27">
        <v>-13.177103282484154</v>
      </c>
    </row>
    <row r="28" spans="1:8">
      <c r="A28">
        <v>930</v>
      </c>
      <c r="B28">
        <v>1</v>
      </c>
      <c r="C28">
        <v>1</v>
      </c>
      <c r="D28">
        <v>1605</v>
      </c>
      <c r="E28">
        <v>8250</v>
      </c>
      <c r="F28">
        <v>2</v>
      </c>
      <c r="G28">
        <v>971.82778276479291</v>
      </c>
      <c r="H28">
        <v>-41.827782764792914</v>
      </c>
    </row>
    <row r="29" spans="1:8">
      <c r="A29">
        <v>910</v>
      </c>
      <c r="B29">
        <v>1</v>
      </c>
      <c r="C29">
        <v>1</v>
      </c>
      <c r="D29">
        <v>1630</v>
      </c>
      <c r="E29">
        <v>8415</v>
      </c>
      <c r="F29">
        <v>2</v>
      </c>
      <c r="G29">
        <v>973.15113045636792</v>
      </c>
      <c r="H29">
        <v>-63.151130456367923</v>
      </c>
    </row>
    <row r="30" spans="1:8">
      <c r="A30">
        <v>990</v>
      </c>
      <c r="B30">
        <v>1</v>
      </c>
      <c r="C30">
        <v>1</v>
      </c>
      <c r="D30">
        <v>1640</v>
      </c>
      <c r="E30">
        <v>8500</v>
      </c>
      <c r="F30">
        <v>2.1</v>
      </c>
      <c r="G30">
        <v>1002.5945921867897</v>
      </c>
      <c r="H30">
        <v>-12.594592186789669</v>
      </c>
    </row>
    <row r="31" spans="1:8">
      <c r="A31">
        <v>954</v>
      </c>
      <c r="B31">
        <v>1</v>
      </c>
      <c r="C31">
        <v>1</v>
      </c>
      <c r="D31">
        <v>1655</v>
      </c>
      <c r="E31">
        <v>8676</v>
      </c>
      <c r="F31">
        <v>2.15</v>
      </c>
      <c r="G31">
        <v>1012.6505039805</v>
      </c>
      <c r="H31">
        <v>-58.650503980500048</v>
      </c>
    </row>
    <row r="32" spans="1:8">
      <c r="A32">
        <v>1068</v>
      </c>
      <c r="B32">
        <v>1</v>
      </c>
      <c r="C32">
        <v>1</v>
      </c>
      <c r="D32">
        <v>1660</v>
      </c>
      <c r="E32">
        <v>8802</v>
      </c>
      <c r="F32">
        <v>2.15</v>
      </c>
      <c r="G32">
        <v>1005.7574000702796</v>
      </c>
      <c r="H32">
        <v>62.242599929720427</v>
      </c>
    </row>
    <row r="33" spans="1:8">
      <c r="A33">
        <v>1108</v>
      </c>
      <c r="B33">
        <v>1</v>
      </c>
      <c r="C33">
        <v>1</v>
      </c>
      <c r="D33">
        <v>1670</v>
      </c>
      <c r="E33">
        <v>8900</v>
      </c>
      <c r="F33">
        <v>2.2000000000000002</v>
      </c>
      <c r="G33">
        <v>1019.0120810910953</v>
      </c>
      <c r="H33">
        <v>88.987918908904703</v>
      </c>
    </row>
    <row r="34" spans="1:8">
      <c r="A34">
        <v>1075</v>
      </c>
      <c r="B34">
        <v>1</v>
      </c>
      <c r="C34">
        <v>1</v>
      </c>
      <c r="D34">
        <v>1680</v>
      </c>
      <c r="E34">
        <v>8885</v>
      </c>
      <c r="F34">
        <v>2.2000000000000002</v>
      </c>
      <c r="G34">
        <v>1025.7756099454818</v>
      </c>
      <c r="H34">
        <v>49.224390054518153</v>
      </c>
    </row>
    <row r="35" spans="1:8">
      <c r="A35">
        <v>924</v>
      </c>
      <c r="B35">
        <v>1</v>
      </c>
      <c r="C35">
        <v>1.25</v>
      </c>
      <c r="D35">
        <v>1685</v>
      </c>
      <c r="E35">
        <v>8945</v>
      </c>
      <c r="F35">
        <v>2.2000000000000002</v>
      </c>
      <c r="G35">
        <v>978.75366934714441</v>
      </c>
      <c r="H35">
        <v>-54.75366934714441</v>
      </c>
    </row>
    <row r="36" spans="1:8">
      <c r="A36">
        <v>1022</v>
      </c>
      <c r="B36">
        <v>1</v>
      </c>
      <c r="C36">
        <v>1.25</v>
      </c>
      <c r="D36">
        <v>1695</v>
      </c>
      <c r="E36">
        <v>8937</v>
      </c>
      <c r="F36">
        <v>2.25</v>
      </c>
      <c r="G36">
        <v>1000.1666727931726</v>
      </c>
      <c r="H36">
        <v>21.833327206827448</v>
      </c>
    </row>
    <row r="37" spans="1:8">
      <c r="A37">
        <v>936</v>
      </c>
      <c r="B37">
        <v>1</v>
      </c>
      <c r="C37">
        <v>1.25</v>
      </c>
      <c r="D37">
        <v>1685</v>
      </c>
      <c r="E37">
        <v>8925</v>
      </c>
      <c r="F37">
        <v>2.25</v>
      </c>
      <c r="G37">
        <v>995.48120719803819</v>
      </c>
      <c r="H37">
        <v>-59.481207198038192</v>
      </c>
    </row>
    <row r="39" spans="1:8">
      <c r="A39">
        <v>38673461</v>
      </c>
      <c r="B39">
        <v>92.127400536092352</v>
      </c>
      <c r="C39">
        <v>-4.4650822708133999</v>
      </c>
      <c r="D39">
        <v>-4.9192053173736872E-2</v>
      </c>
      <c r="E39">
        <v>-2.8455990429938223E-3</v>
      </c>
      <c r="F39">
        <v>8.45542822080421</v>
      </c>
    </row>
    <row r="40" spans="1:8">
      <c r="A40">
        <v>331508.97297297296</v>
      </c>
      <c r="B40">
        <v>-4.4650822708128448</v>
      </c>
      <c r="C40">
        <v>3.4418640297031091</v>
      </c>
      <c r="D40">
        <v>2.8948605335215255E-3</v>
      </c>
      <c r="E40">
        <v>-1.5097862479268999E-4</v>
      </c>
      <c r="F40">
        <v>-1.2901522223639315</v>
      </c>
    </row>
    <row r="41" spans="1:8">
      <c r="B41">
        <v>-4.919205317373649E-2</v>
      </c>
      <c r="C41">
        <v>2.8948605335218001E-3</v>
      </c>
      <c r="D41">
        <v>2.6522900567860503E-5</v>
      </c>
      <c r="E41">
        <v>1.3639299796238834E-6</v>
      </c>
      <c r="F41">
        <v>-4.3444783200047186E-3</v>
      </c>
    </row>
    <row r="42" spans="1:8">
      <c r="A42">
        <v>279.8440674385638</v>
      </c>
      <c r="B42">
        <v>-2.8455990429941212E-3</v>
      </c>
      <c r="C42">
        <v>-1.5097862479265551E-4</v>
      </c>
      <c r="D42">
        <v>1.3639299796240549E-6</v>
      </c>
      <c r="E42">
        <v>2.1087758037246517E-7</v>
      </c>
      <c r="F42">
        <v>-5.0252086975727825E-4</v>
      </c>
    </row>
    <row r="43" spans="1:8">
      <c r="A43">
        <v>-180.83418750960118</v>
      </c>
      <c r="B43">
        <v>8.455428220804853</v>
      </c>
      <c r="C43">
        <v>-1.2901522223640223</v>
      </c>
      <c r="D43">
        <v>-4.3444783200050994E-3</v>
      </c>
      <c r="E43">
        <v>-5.0252086975726925E-4</v>
      </c>
      <c r="F43">
        <v>2.1370243415030594</v>
      </c>
    </row>
    <row r="44" spans="1:8">
      <c r="A44">
        <v>0.56090492659131996</v>
      </c>
    </row>
    <row r="45" spans="1:8">
      <c r="A45">
        <v>-7.6965305898230696E-2</v>
      </c>
    </row>
    <row r="46" spans="1:8">
      <c r="A46">
        <v>303.76463465858251</v>
      </c>
    </row>
  </sheetData>
  <phoneticPr fontId="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F1" sqref="F1:F38"/>
    </sheetView>
  </sheetViews>
  <sheetFormatPr defaultRowHeight="12.75"/>
  <sheetData>
    <row r="1" spans="1:8">
      <c r="A1">
        <v>1200</v>
      </c>
      <c r="B1">
        <v>1</v>
      </c>
      <c r="C1">
        <v>0.15</v>
      </c>
      <c r="D1">
        <v>1800</v>
      </c>
      <c r="E1">
        <v>2900</v>
      </c>
      <c r="F1">
        <v>0.5</v>
      </c>
      <c r="G1">
        <v>1177.7348246079907</v>
      </c>
      <c r="H1">
        <v>22.265175392009269</v>
      </c>
    </row>
    <row r="2" spans="1:8">
      <c r="A2">
        <v>1190</v>
      </c>
      <c r="B2">
        <v>1</v>
      </c>
      <c r="C2">
        <v>0.15</v>
      </c>
      <c r="D2">
        <v>1790</v>
      </c>
      <c r="E2">
        <v>3100</v>
      </c>
      <c r="F2">
        <v>0.5</v>
      </c>
      <c r="G2">
        <v>1162.1658165951353</v>
      </c>
      <c r="H2">
        <v>27.834183404864689</v>
      </c>
    </row>
    <row r="3" spans="1:8">
      <c r="A3">
        <v>1195</v>
      </c>
      <c r="B3">
        <v>1</v>
      </c>
      <c r="C3">
        <v>0.15</v>
      </c>
      <c r="D3">
        <v>1780</v>
      </c>
      <c r="E3">
        <v>3200</v>
      </c>
      <c r="F3">
        <v>0.6</v>
      </c>
      <c r="G3">
        <v>1169.7180627721837</v>
      </c>
      <c r="H3">
        <v>25.281937227816343</v>
      </c>
    </row>
    <row r="4" spans="1:8">
      <c r="A4">
        <v>1100</v>
      </c>
      <c r="B4">
        <v>1</v>
      </c>
      <c r="C4">
        <v>0.25</v>
      </c>
      <c r="D4">
        <v>1778</v>
      </c>
      <c r="E4">
        <v>3250</v>
      </c>
      <c r="F4">
        <v>0.6</v>
      </c>
      <c r="G4">
        <v>1150.8492630721596</v>
      </c>
      <c r="H4">
        <v>-50.849263072159602</v>
      </c>
    </row>
    <row r="5" spans="1:8">
      <c r="A5">
        <v>1105</v>
      </c>
      <c r="B5">
        <v>1</v>
      </c>
      <c r="C5">
        <v>0.25</v>
      </c>
      <c r="D5">
        <v>1750</v>
      </c>
      <c r="E5">
        <v>3275</v>
      </c>
      <c r="F5">
        <v>0.6</v>
      </c>
      <c r="G5">
        <v>1133.3301457474197</v>
      </c>
      <c r="H5">
        <v>-28.330145747419692</v>
      </c>
    </row>
    <row r="6" spans="1:8">
      <c r="A6">
        <v>1115</v>
      </c>
      <c r="B6">
        <v>1</v>
      </c>
      <c r="C6">
        <v>0.25</v>
      </c>
      <c r="D6">
        <v>1740</v>
      </c>
      <c r="E6">
        <v>3290</v>
      </c>
      <c r="F6">
        <v>0.7</v>
      </c>
      <c r="G6">
        <v>1145.0250067552281</v>
      </c>
      <c r="H6">
        <v>-30.025006755228105</v>
      </c>
    </row>
    <row r="7" spans="1:8">
      <c r="A7">
        <v>1130</v>
      </c>
      <c r="B7">
        <v>1</v>
      </c>
      <c r="C7">
        <v>0.25</v>
      </c>
      <c r="D7">
        <v>1725</v>
      </c>
      <c r="E7">
        <v>4100</v>
      </c>
      <c r="F7">
        <v>0.75</v>
      </c>
      <c r="G7">
        <v>1105.9396005929477</v>
      </c>
      <c r="H7">
        <v>24.060399407052273</v>
      </c>
    </row>
    <row r="8" spans="1:8">
      <c r="A8">
        <v>1095</v>
      </c>
      <c r="B8">
        <v>1</v>
      </c>
      <c r="C8">
        <v>0.3</v>
      </c>
      <c r="D8">
        <v>1725</v>
      </c>
      <c r="E8">
        <v>4300</v>
      </c>
      <c r="F8">
        <v>0.75</v>
      </c>
      <c r="G8">
        <v>1088.5584557560069</v>
      </c>
      <c r="H8">
        <v>6.4415442439931212</v>
      </c>
    </row>
    <row r="9" spans="1:8">
      <c r="A9">
        <v>1090</v>
      </c>
      <c r="B9">
        <v>1</v>
      </c>
      <c r="C9">
        <v>0.3</v>
      </c>
      <c r="D9">
        <v>1720</v>
      </c>
      <c r="E9">
        <v>4400</v>
      </c>
      <c r="F9">
        <v>0.75</v>
      </c>
      <c r="G9">
        <v>1080.7739517495791</v>
      </c>
      <c r="H9">
        <v>9.2260482504209449</v>
      </c>
    </row>
    <row r="10" spans="1:8">
      <c r="A10">
        <v>1087</v>
      </c>
      <c r="B10">
        <v>1</v>
      </c>
      <c r="C10">
        <v>0.3</v>
      </c>
      <c r="D10">
        <v>1705</v>
      </c>
      <c r="E10">
        <v>4600</v>
      </c>
      <c r="F10">
        <v>0.8</v>
      </c>
      <c r="G10">
        <v>1071.4178990786363</v>
      </c>
      <c r="H10">
        <v>15.58210092136369</v>
      </c>
    </row>
    <row r="11" spans="1:8">
      <c r="A11">
        <v>1080</v>
      </c>
      <c r="B11">
        <v>1</v>
      </c>
      <c r="C11">
        <v>0.3</v>
      </c>
      <c r="D11">
        <v>1710</v>
      </c>
      <c r="E11">
        <v>4815</v>
      </c>
      <c r="F11">
        <v>0.8</v>
      </c>
      <c r="G11">
        <v>1063.8503598887175</v>
      </c>
      <c r="H11">
        <v>16.149640111282451</v>
      </c>
    </row>
    <row r="12" spans="1:8">
      <c r="A12">
        <v>1020</v>
      </c>
      <c r="B12">
        <v>1</v>
      </c>
      <c r="C12">
        <v>0.4</v>
      </c>
      <c r="D12">
        <v>1700</v>
      </c>
      <c r="E12">
        <v>5285</v>
      </c>
      <c r="F12">
        <v>0.8</v>
      </c>
      <c r="G12">
        <v>1019.8548260607902</v>
      </c>
      <c r="H12">
        <v>0.14517393920982613</v>
      </c>
    </row>
    <row r="13" spans="1:8">
      <c r="A13">
        <v>1010</v>
      </c>
      <c r="B13">
        <v>1</v>
      </c>
      <c r="C13">
        <v>0.4</v>
      </c>
      <c r="D13">
        <v>1695</v>
      </c>
      <c r="E13">
        <v>5665</v>
      </c>
      <c r="F13">
        <v>0.85</v>
      </c>
      <c r="G13">
        <v>1007.5478562769513</v>
      </c>
      <c r="H13">
        <v>2.4521437230487209</v>
      </c>
    </row>
    <row r="14" spans="1:8">
      <c r="A14">
        <v>1010</v>
      </c>
      <c r="B14">
        <v>1</v>
      </c>
      <c r="C14">
        <v>0.4</v>
      </c>
      <c r="D14">
        <v>1695</v>
      </c>
      <c r="E14">
        <v>5800</v>
      </c>
      <c r="F14">
        <v>1</v>
      </c>
      <c r="G14">
        <v>1028.339793717493</v>
      </c>
      <c r="H14">
        <v>-18.339793717492967</v>
      </c>
    </row>
    <row r="15" spans="1:8">
      <c r="A15">
        <v>1005</v>
      </c>
      <c r="B15">
        <v>1</v>
      </c>
      <c r="C15">
        <v>0.4</v>
      </c>
      <c r="D15">
        <v>1690</v>
      </c>
      <c r="E15">
        <v>5900</v>
      </c>
      <c r="F15">
        <v>1.05</v>
      </c>
      <c r="G15">
        <v>1029.6790845526286</v>
      </c>
      <c r="H15">
        <v>-24.679084552628638</v>
      </c>
    </row>
    <row r="16" spans="1:8">
      <c r="A16">
        <v>995</v>
      </c>
      <c r="B16">
        <v>1</v>
      </c>
      <c r="C16">
        <v>0.4</v>
      </c>
      <c r="D16">
        <v>1630</v>
      </c>
      <c r="E16">
        <v>5915</v>
      </c>
      <c r="F16">
        <v>1.05</v>
      </c>
      <c r="G16">
        <v>994.01796088080027</v>
      </c>
      <c r="H16">
        <v>0.98203911919972597</v>
      </c>
    </row>
    <row r="17" spans="1:8">
      <c r="A17">
        <v>930</v>
      </c>
      <c r="B17">
        <v>1</v>
      </c>
      <c r="C17">
        <v>0.75</v>
      </c>
      <c r="D17">
        <v>1640</v>
      </c>
      <c r="E17">
        <v>6325</v>
      </c>
      <c r="F17">
        <v>1.05</v>
      </c>
      <c r="G17">
        <v>926.42090463860416</v>
      </c>
      <c r="H17">
        <v>3.5790953613958436</v>
      </c>
    </row>
    <row r="18" spans="1:8">
      <c r="A18">
        <v>915</v>
      </c>
      <c r="B18">
        <v>1</v>
      </c>
      <c r="C18">
        <v>0.75</v>
      </c>
      <c r="D18">
        <v>1635</v>
      </c>
      <c r="E18">
        <v>6500</v>
      </c>
      <c r="F18">
        <v>1.1000000000000001</v>
      </c>
      <c r="G18">
        <v>924.10494709365753</v>
      </c>
      <c r="H18">
        <v>-9.104947093657529</v>
      </c>
    </row>
    <row r="19" spans="1:8">
      <c r="A19">
        <v>920</v>
      </c>
      <c r="B19">
        <v>1</v>
      </c>
      <c r="C19">
        <v>0.75</v>
      </c>
      <c r="D19">
        <v>1630</v>
      </c>
      <c r="E19">
        <v>6612</v>
      </c>
      <c r="F19">
        <v>1.25</v>
      </c>
      <c r="G19">
        <v>943.10698787110664</v>
      </c>
      <c r="H19">
        <v>-23.106987871106639</v>
      </c>
    </row>
    <row r="20" spans="1:8">
      <c r="A20">
        <v>940</v>
      </c>
      <c r="B20">
        <v>1</v>
      </c>
      <c r="C20">
        <v>0.75</v>
      </c>
      <c r="D20">
        <v>1620</v>
      </c>
      <c r="E20">
        <v>6883</v>
      </c>
      <c r="F20">
        <v>1.3</v>
      </c>
      <c r="G20">
        <v>933.20147290000352</v>
      </c>
      <c r="H20">
        <v>6.7985270999964769</v>
      </c>
    </row>
    <row r="21" spans="1:8">
      <c r="A21">
        <v>950</v>
      </c>
      <c r="B21">
        <v>1</v>
      </c>
      <c r="C21">
        <v>0.75</v>
      </c>
      <c r="D21">
        <v>1615</v>
      </c>
      <c r="E21">
        <v>7005</v>
      </c>
      <c r="F21">
        <v>1.5</v>
      </c>
      <c r="G21">
        <v>960.83994206833836</v>
      </c>
      <c r="H21">
        <v>-10.83994206833836</v>
      </c>
    </row>
    <row r="22" spans="1:8">
      <c r="A22">
        <v>910</v>
      </c>
      <c r="B22">
        <v>1</v>
      </c>
      <c r="C22">
        <v>1</v>
      </c>
      <c r="D22">
        <v>1605</v>
      </c>
      <c r="E22">
        <v>7234</v>
      </c>
      <c r="F22">
        <v>1.55</v>
      </c>
      <c r="G22">
        <v>914.8122870731429</v>
      </c>
      <c r="H22">
        <v>-4.8122870731428975</v>
      </c>
    </row>
    <row r="23" spans="1:8">
      <c r="A23">
        <v>930</v>
      </c>
      <c r="B23">
        <v>1</v>
      </c>
      <c r="C23">
        <v>1</v>
      </c>
      <c r="D23">
        <v>1590</v>
      </c>
      <c r="E23">
        <v>7500</v>
      </c>
      <c r="F23">
        <v>1.65</v>
      </c>
      <c r="G23">
        <v>911.36341066929072</v>
      </c>
      <c r="H23">
        <v>18.636589330709285</v>
      </c>
    </row>
    <row r="24" spans="1:8">
      <c r="A24">
        <v>933</v>
      </c>
      <c r="B24">
        <v>1</v>
      </c>
      <c r="C24">
        <v>1</v>
      </c>
      <c r="D24">
        <v>1595</v>
      </c>
      <c r="E24">
        <v>7600</v>
      </c>
      <c r="F24">
        <v>1.75</v>
      </c>
      <c r="G24">
        <v>927.64817534529175</v>
      </c>
      <c r="H24">
        <v>5.3518246547082526</v>
      </c>
    </row>
    <row r="25" spans="1:8">
      <c r="A25">
        <v>940</v>
      </c>
      <c r="B25">
        <v>1</v>
      </c>
      <c r="C25">
        <v>1</v>
      </c>
      <c r="D25">
        <v>1590</v>
      </c>
      <c r="E25">
        <v>7800</v>
      </c>
      <c r="F25">
        <v>1.75</v>
      </c>
      <c r="G25">
        <v>914.9900068320876</v>
      </c>
      <c r="H25">
        <v>25.009993167912398</v>
      </c>
    </row>
    <row r="26" spans="1:8">
      <c r="A26">
        <v>948</v>
      </c>
      <c r="B26">
        <v>1</v>
      </c>
      <c r="C26">
        <v>1</v>
      </c>
      <c r="D26">
        <v>1600</v>
      </c>
      <c r="E26">
        <v>8000</v>
      </c>
      <c r="F26">
        <v>1.9</v>
      </c>
      <c r="G26">
        <v>938.4357413425264</v>
      </c>
      <c r="H26">
        <v>9.5642586574736015</v>
      </c>
    </row>
    <row r="27" spans="1:8">
      <c r="A27">
        <v>955</v>
      </c>
      <c r="B27">
        <v>1</v>
      </c>
      <c r="C27">
        <v>1</v>
      </c>
      <c r="D27">
        <v>1610</v>
      </c>
      <c r="E27">
        <v>8100</v>
      </c>
      <c r="F27">
        <v>2</v>
      </c>
      <c r="G27">
        <v>957.63134551817848</v>
      </c>
      <c r="H27">
        <v>-2.6313455181784775</v>
      </c>
    </row>
    <row r="28" spans="1:8">
      <c r="A28">
        <v>940</v>
      </c>
      <c r="B28">
        <v>1</v>
      </c>
      <c r="C28">
        <v>1</v>
      </c>
      <c r="D28">
        <v>1605</v>
      </c>
      <c r="E28">
        <v>8250</v>
      </c>
      <c r="F28">
        <v>2</v>
      </c>
      <c r="G28">
        <v>947.41000925836261</v>
      </c>
      <c r="H28">
        <v>-7.4100092583626065</v>
      </c>
    </row>
    <row r="29" spans="1:8">
      <c r="A29">
        <v>966</v>
      </c>
      <c r="B29">
        <v>1</v>
      </c>
      <c r="C29">
        <v>1</v>
      </c>
      <c r="D29">
        <v>1630</v>
      </c>
      <c r="E29">
        <v>8415</v>
      </c>
      <c r="F29">
        <v>2</v>
      </c>
      <c r="G29">
        <v>953.92266032043608</v>
      </c>
      <c r="H29">
        <v>12.07733967956392</v>
      </c>
    </row>
    <row r="30" spans="1:8">
      <c r="A30">
        <v>960</v>
      </c>
      <c r="B30">
        <v>1</v>
      </c>
      <c r="C30">
        <v>1</v>
      </c>
      <c r="D30">
        <v>1640</v>
      </c>
      <c r="E30">
        <v>8500</v>
      </c>
      <c r="F30">
        <v>2.1</v>
      </c>
      <c r="G30">
        <v>973.84931417210464</v>
      </c>
      <c r="H30">
        <v>-13.849314172104641</v>
      </c>
    </row>
    <row r="31" spans="1:8">
      <c r="A31">
        <v>962</v>
      </c>
      <c r="B31">
        <v>1</v>
      </c>
      <c r="C31">
        <v>1</v>
      </c>
      <c r="D31">
        <v>1655</v>
      </c>
      <c r="E31">
        <v>8676</v>
      </c>
      <c r="F31">
        <v>2.15</v>
      </c>
      <c r="G31">
        <v>983.12797798069414</v>
      </c>
      <c r="H31">
        <v>-21.127977980694141</v>
      </c>
    </row>
    <row r="32" spans="1:8">
      <c r="A32">
        <v>960</v>
      </c>
      <c r="B32">
        <v>1</v>
      </c>
      <c r="C32">
        <v>1</v>
      </c>
      <c r="D32">
        <v>1660</v>
      </c>
      <c r="E32">
        <v>8802</v>
      </c>
      <c r="F32">
        <v>2.15</v>
      </c>
      <c r="G32">
        <v>979.89800020180655</v>
      </c>
      <c r="H32">
        <v>-19.898000201806553</v>
      </c>
    </row>
    <row r="33" spans="1:8">
      <c r="A33">
        <v>1012</v>
      </c>
      <c r="B33">
        <v>1</v>
      </c>
      <c r="C33">
        <v>1</v>
      </c>
      <c r="D33">
        <v>1670</v>
      </c>
      <c r="E33">
        <v>8900</v>
      </c>
      <c r="F33">
        <v>2.2000000000000002</v>
      </c>
      <c r="G33">
        <v>990.06728282603103</v>
      </c>
      <c r="H33">
        <v>21.932717173968967</v>
      </c>
    </row>
    <row r="34" spans="1:8">
      <c r="A34">
        <v>1002</v>
      </c>
      <c r="B34">
        <v>1</v>
      </c>
      <c r="C34">
        <v>1</v>
      </c>
      <c r="D34">
        <v>1680</v>
      </c>
      <c r="E34">
        <v>8885</v>
      </c>
      <c r="F34">
        <v>2.2000000000000002</v>
      </c>
      <c r="G34">
        <v>996.62001150134938</v>
      </c>
      <c r="H34">
        <v>5.3799884986506186</v>
      </c>
    </row>
    <row r="35" spans="1:8">
      <c r="A35">
        <v>935</v>
      </c>
      <c r="B35">
        <v>1</v>
      </c>
      <c r="C35">
        <v>1.25</v>
      </c>
      <c r="D35">
        <v>1685</v>
      </c>
      <c r="E35">
        <v>8945</v>
      </c>
      <c r="F35">
        <v>2.2000000000000002</v>
      </c>
      <c r="G35">
        <v>958.43757317999598</v>
      </c>
      <c r="H35">
        <v>-23.437573179995979</v>
      </c>
    </row>
    <row r="36" spans="1:8">
      <c r="A36">
        <v>980</v>
      </c>
      <c r="B36">
        <v>1</v>
      </c>
      <c r="C36">
        <v>1.25</v>
      </c>
      <c r="D36">
        <v>1695</v>
      </c>
      <c r="E36">
        <v>8937</v>
      </c>
      <c r="F36">
        <v>2.25</v>
      </c>
      <c r="G36">
        <v>973.77294018140333</v>
      </c>
      <c r="H36">
        <v>6.2270598185966719</v>
      </c>
    </row>
    <row r="37" spans="1:8">
      <c r="A37">
        <v>992</v>
      </c>
      <c r="B37">
        <v>1</v>
      </c>
      <c r="C37">
        <v>1.25</v>
      </c>
      <c r="D37">
        <v>1685</v>
      </c>
      <c r="E37">
        <v>8925</v>
      </c>
      <c r="F37">
        <v>2.25</v>
      </c>
      <c r="G37">
        <v>968.53610092291456</v>
      </c>
      <c r="H37">
        <v>23.463899077085443</v>
      </c>
    </row>
    <row r="39" spans="1:8">
      <c r="A39">
        <v>38075699</v>
      </c>
      <c r="B39">
        <v>92.127400536092352</v>
      </c>
      <c r="C39">
        <v>-4.4650822708133999</v>
      </c>
      <c r="D39">
        <v>-4.9192053173736872E-2</v>
      </c>
      <c r="E39">
        <v>-2.8455990429938223E-3</v>
      </c>
      <c r="F39">
        <v>8.45542822080421</v>
      </c>
    </row>
    <row r="40" spans="1:8">
      <c r="A40">
        <v>257222</v>
      </c>
      <c r="B40">
        <v>-4.4650822708128448</v>
      </c>
      <c r="C40">
        <v>3.4418640297031091</v>
      </c>
      <c r="D40">
        <v>2.8948605335215255E-3</v>
      </c>
      <c r="E40">
        <v>-1.5097862479268999E-4</v>
      </c>
      <c r="F40">
        <v>-1.2901522223639315</v>
      </c>
    </row>
    <row r="41" spans="1:8">
      <c r="B41">
        <v>-4.919205317373649E-2</v>
      </c>
      <c r="C41">
        <v>2.8948605335218001E-3</v>
      </c>
      <c r="D41">
        <v>2.6522900567860503E-5</v>
      </c>
      <c r="E41">
        <v>1.3639299796238834E-6</v>
      </c>
      <c r="F41">
        <v>-4.3444783200047186E-3</v>
      </c>
    </row>
    <row r="42" spans="1:8">
      <c r="A42">
        <v>202.83237448468572</v>
      </c>
      <c r="B42">
        <v>-2.8455990429941212E-3</v>
      </c>
      <c r="C42">
        <v>-1.5097862479265551E-4</v>
      </c>
      <c r="D42">
        <v>1.3639299796240549E-6</v>
      </c>
      <c r="E42">
        <v>2.1087758037246517E-7</v>
      </c>
      <c r="F42">
        <v>-5.0252086975727825E-4</v>
      </c>
    </row>
    <row r="43" spans="1:8">
      <c r="A43">
        <v>-152.67631646775408</v>
      </c>
      <c r="B43">
        <v>8.455428220804853</v>
      </c>
      <c r="C43">
        <v>-1.2901522223640223</v>
      </c>
      <c r="D43">
        <v>-4.3444783200050994E-3</v>
      </c>
      <c r="E43">
        <v>-5.0252086975726925E-4</v>
      </c>
      <c r="F43">
        <v>2.1370243415030594</v>
      </c>
    </row>
    <row r="44" spans="1:8">
      <c r="A44">
        <v>0.58216789993019802</v>
      </c>
    </row>
    <row r="45" spans="1:8">
      <c r="A45">
        <v>-4.8736645067766204E-2</v>
      </c>
    </row>
    <row r="46" spans="1:8">
      <c r="A46">
        <v>182.47589683126716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Data</vt:lpstr>
      <vt:lpstr>Full Linear</vt:lpstr>
      <vt:lpstr>Quad Full</vt:lpstr>
      <vt:lpstr>Full quad step</vt:lpstr>
      <vt:lpstr>Correlations</vt:lpstr>
      <vt:lpstr>Income v Park</vt:lpstr>
      <vt:lpstr>Price v Park</vt:lpstr>
      <vt:lpstr>Reduced Quad</vt:lpstr>
      <vt:lpstr>Reduced Step</vt:lpstr>
      <vt:lpstr>Statistics</vt:lpstr>
      <vt:lpstr>Sheet1</vt:lpstr>
      <vt:lpstr>Sheet14</vt:lpstr>
      <vt:lpstr>Sheet10</vt:lpstr>
      <vt:lpstr>Sheet7</vt:lpstr>
      <vt:lpstr>Data!Data</vt:lpstr>
      <vt:lpstr>Data!Income</vt:lpstr>
      <vt:lpstr>Data!Income_1</vt:lpstr>
      <vt:lpstr>Data!Income_Income</vt:lpstr>
      <vt:lpstr>Data!Income_Park</vt:lpstr>
      <vt:lpstr>Data!Income_Pop</vt:lpstr>
      <vt:lpstr>Data!Park_Park</vt:lpstr>
      <vt:lpstr>Data!Parking_Rate</vt:lpstr>
      <vt:lpstr>Data!Parking_Rate_1</vt:lpstr>
      <vt:lpstr>Data!Pop_Park</vt:lpstr>
      <vt:lpstr>Data!Pop_pop</vt:lpstr>
      <vt:lpstr>Data!Population</vt:lpstr>
      <vt:lpstr>Data!Population_1</vt:lpstr>
      <vt:lpstr>Data!Price_Income</vt:lpstr>
      <vt:lpstr>Data!Price_Park</vt:lpstr>
      <vt:lpstr>Data!Price_per_Ride</vt:lpstr>
      <vt:lpstr>Data!Price_per_Ride_1</vt:lpstr>
      <vt:lpstr>Data!Price_per_Ride_Parking_Rate</vt:lpstr>
      <vt:lpstr>Data!Price_Pop</vt:lpstr>
      <vt:lpstr>Data!Price_Price</vt:lpstr>
      <vt:lpstr>Data!Weekly_Riders</vt:lpstr>
      <vt:lpstr>Data!Weekly_Riders_1</vt:lpstr>
      <vt:lpstr>Data!Year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J. Zappe, Ph.D.</dc:creator>
  <cp:lastModifiedBy>Green, Kris</cp:lastModifiedBy>
  <dcterms:created xsi:type="dcterms:W3CDTF">1998-08-19T00:20:11Z</dcterms:created>
  <dcterms:modified xsi:type="dcterms:W3CDTF">2014-08-25T13:53:45Z</dcterms:modified>
</cp:coreProperties>
</file>